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8"/>
  </bookViews>
  <sheets>
    <sheet name="Handicap Division" sheetId="1" r:id="rId1"/>
    <sheet name="Division 1" sheetId="2" r:id="rId2"/>
    <sheet name="Division 2" sheetId="3" r:id="rId3"/>
    <sheet name="Division 3" sheetId="4" r:id="rId4"/>
    <sheet name="Division 4" sheetId="5" r:id="rId5"/>
    <sheet name="Division 5" sheetId="6" r:id="rId6"/>
    <sheet name="Division 6" sheetId="7" r:id="rId7"/>
    <sheet name="Division 7" sheetId="8" r:id="rId8"/>
    <sheet name="27-Dec-15 Ward Green" sheetId="9" r:id="rId9"/>
    <sheet name="13-Dec-15 Dewsbury XC" sheetId="10" r:id="rId10"/>
    <sheet name="29-Nov-15 Barnsley" sheetId="11" r:id="rId11"/>
    <sheet name="8-Nov-15 Spen Vets" sheetId="12" r:id="rId12"/>
    <sheet name="25-Oct-15 Bronte Way" sheetId="13" r:id="rId13"/>
    <sheet name="13-Sep &amp; 27-Sep Yman &amp; Mfield" sheetId="14" r:id="rId14"/>
    <sheet name="20-May &amp; 23-Sep Track" sheetId="15" r:id="rId15"/>
    <sheet name="6-Sep-15 Kirkwood Hospice" sheetId="16" r:id="rId16"/>
    <sheet name="4-Aug-15 Crow Hill" sheetId="17" r:id="rId17"/>
    <sheet name="29-Jul-15 Flat Cap" sheetId="18" r:id="rId18"/>
    <sheet name="10-Jul-15 Woodland Challenge" sheetId="19" r:id="rId19"/>
    <sheet name="7-Jul-15 Crossgates Vets" sheetId="20" r:id="rId20"/>
    <sheet name="1-Jul-15 Helen Windsor" sheetId="21" r:id="rId21"/>
    <sheet name="7-Jun-15 Bolton Brow Burner" sheetId="22" r:id="rId22"/>
    <sheet name="16-May-15 Sowerby Scorcher" sheetId="23" r:id="rId23"/>
    <sheet name="19-Apr-15 Overgate" sheetId="24" r:id="rId24"/>
    <sheet name="22-Mar-15 Thirsk" sheetId="25" r:id="rId25"/>
    <sheet name="8-Feb-15 LBT XC" sheetId="26" r:id="rId26"/>
    <sheet name="11-Jan-15 Winter Handicap" sheetId="27" r:id="rId27"/>
    <sheet name="Hudds &amp; Hfx Park Runs" sheetId="28" r:id="rId28"/>
  </sheets>
  <definedNames/>
  <calcPr fullCalcOnLoad="1"/>
</workbook>
</file>

<file path=xl/sharedStrings.xml><?xml version="1.0" encoding="utf-8"?>
<sst xmlns="http://schemas.openxmlformats.org/spreadsheetml/2006/main" count="3846" uniqueCount="687">
  <si>
    <t>Sat</t>
  </si>
  <si>
    <t>Sowerby Scorcher</t>
  </si>
  <si>
    <t>No. Of Events</t>
  </si>
  <si>
    <t>Total Points Scored</t>
  </si>
  <si>
    <t>10K</t>
  </si>
  <si>
    <t>5M</t>
  </si>
  <si>
    <t>3K</t>
  </si>
  <si>
    <t>10M</t>
  </si>
  <si>
    <t>5K</t>
  </si>
  <si>
    <t>Road</t>
  </si>
  <si>
    <t>Multi</t>
  </si>
  <si>
    <t>Trail</t>
  </si>
  <si>
    <t>Fell</t>
  </si>
  <si>
    <t>Track</t>
  </si>
  <si>
    <t>Xcountry</t>
  </si>
  <si>
    <t>Park</t>
  </si>
  <si>
    <t>Woodland Challenge</t>
  </si>
  <si>
    <t>First Name</t>
  </si>
  <si>
    <t>Surname</t>
  </si>
  <si>
    <t>Spen Vets</t>
  </si>
  <si>
    <t>Position</t>
  </si>
  <si>
    <t>5.2M</t>
  </si>
  <si>
    <t>Xcountry Temple Newsham</t>
  </si>
  <si>
    <t>Crow Hill</t>
  </si>
  <si>
    <t>Best 9 Events To Count</t>
  </si>
  <si>
    <t>Liam</t>
  </si>
  <si>
    <t>Gough</t>
  </si>
  <si>
    <t xml:space="preserve">Ed </t>
  </si>
  <si>
    <t xml:space="preserve">Hyland </t>
  </si>
  <si>
    <t xml:space="preserve">Richard </t>
  </si>
  <si>
    <t>Hand</t>
  </si>
  <si>
    <t>Mark</t>
  </si>
  <si>
    <t>Pigford</t>
  </si>
  <si>
    <t>Jonathan</t>
  </si>
  <si>
    <t>Collins</t>
  </si>
  <si>
    <t xml:space="preserve">Mark </t>
  </si>
  <si>
    <t xml:space="preserve">Pottinger </t>
  </si>
  <si>
    <t xml:space="preserve">Ryan </t>
  </si>
  <si>
    <t>Thompson</t>
  </si>
  <si>
    <t xml:space="preserve">Craig </t>
  </si>
  <si>
    <t xml:space="preserve">Miller </t>
  </si>
  <si>
    <t xml:space="preserve">Tanya </t>
  </si>
  <si>
    <t xml:space="preserve">Seager </t>
  </si>
  <si>
    <t>Tristan</t>
  </si>
  <si>
    <t>Sheard</t>
  </si>
  <si>
    <t xml:space="preserve">Matt </t>
  </si>
  <si>
    <t>Higham</t>
  </si>
  <si>
    <t xml:space="preserve">Lucy </t>
  </si>
  <si>
    <t>Dan</t>
  </si>
  <si>
    <t>Marsden</t>
  </si>
  <si>
    <t>Margaret</t>
  </si>
  <si>
    <t>Beever</t>
  </si>
  <si>
    <t>David</t>
  </si>
  <si>
    <t>Hutchings</t>
  </si>
  <si>
    <t>Damien</t>
  </si>
  <si>
    <t xml:space="preserve">Pearson </t>
  </si>
  <si>
    <t xml:space="preserve">Adam </t>
  </si>
  <si>
    <t xml:space="preserve">Scratcherd </t>
  </si>
  <si>
    <t>Webb</t>
  </si>
  <si>
    <t>Danielle</t>
  </si>
  <si>
    <t>Kobak</t>
  </si>
  <si>
    <t>Julie</t>
  </si>
  <si>
    <t>Field</t>
  </si>
  <si>
    <t>John</t>
  </si>
  <si>
    <t>Bassinder</t>
  </si>
  <si>
    <t>Amanda</t>
  </si>
  <si>
    <t>Zito</t>
  </si>
  <si>
    <t>Gavin</t>
  </si>
  <si>
    <t>Dodd</t>
  </si>
  <si>
    <t>Leon</t>
  </si>
  <si>
    <t>Severn</t>
  </si>
  <si>
    <t xml:space="preserve">Colin </t>
  </si>
  <si>
    <t>Hughes</t>
  </si>
  <si>
    <t>Sally</t>
  </si>
  <si>
    <t>Caton</t>
  </si>
  <si>
    <t>Preston</t>
  </si>
  <si>
    <t xml:space="preserve">Paul </t>
  </si>
  <si>
    <t>McCormick</t>
  </si>
  <si>
    <t xml:space="preserve">Andrew </t>
  </si>
  <si>
    <t>Laird Boldy</t>
  </si>
  <si>
    <t xml:space="preserve">Kevin </t>
  </si>
  <si>
    <t xml:space="preserve">Jaggar </t>
  </si>
  <si>
    <t xml:space="preserve">Ian </t>
  </si>
  <si>
    <t>Hamilton</t>
  </si>
  <si>
    <t>Smith</t>
  </si>
  <si>
    <t xml:space="preserve">Trevor </t>
  </si>
  <si>
    <t xml:space="preserve">Lester </t>
  </si>
  <si>
    <t xml:space="preserve">Phillips </t>
  </si>
  <si>
    <t>Patrick</t>
  </si>
  <si>
    <t xml:space="preserve">Gareth </t>
  </si>
  <si>
    <t>Duckworth</t>
  </si>
  <si>
    <t>Ingles</t>
  </si>
  <si>
    <t xml:space="preserve">Rachel </t>
  </si>
  <si>
    <t>Cullen</t>
  </si>
  <si>
    <t xml:space="preserve">Aileen </t>
  </si>
  <si>
    <t>Baldwin</t>
  </si>
  <si>
    <t>Diane</t>
  </si>
  <si>
    <t>Waite</t>
  </si>
  <si>
    <t xml:space="preserve">Martin </t>
  </si>
  <si>
    <t xml:space="preserve">Wood </t>
  </si>
  <si>
    <t xml:space="preserve">Michael </t>
  </si>
  <si>
    <t>Greer</t>
  </si>
  <si>
    <t>Alan</t>
  </si>
  <si>
    <t>Steve</t>
  </si>
  <si>
    <t>Hallam</t>
  </si>
  <si>
    <t xml:space="preserve">Tim </t>
  </si>
  <si>
    <t>Neville</t>
  </si>
  <si>
    <t>Robert</t>
  </si>
  <si>
    <t>Evans</t>
  </si>
  <si>
    <t xml:space="preserve">John </t>
  </si>
  <si>
    <t>Hirst</t>
  </si>
  <si>
    <t xml:space="preserve">Neville </t>
  </si>
  <si>
    <t xml:space="preserve">Scott </t>
  </si>
  <si>
    <t>Tony</t>
  </si>
  <si>
    <t>Mott</t>
  </si>
  <si>
    <t>Matthew</t>
  </si>
  <si>
    <t>Gadd</t>
  </si>
  <si>
    <t>Sandy</t>
  </si>
  <si>
    <t>Gee</t>
  </si>
  <si>
    <t>Moira</t>
  </si>
  <si>
    <t>Alderson</t>
  </si>
  <si>
    <t xml:space="preserve">Helen </t>
  </si>
  <si>
    <t>Hudson</t>
  </si>
  <si>
    <t>Taylor</t>
  </si>
  <si>
    <t>Maria</t>
  </si>
  <si>
    <t>Harron</t>
  </si>
  <si>
    <t xml:space="preserve">Justine </t>
  </si>
  <si>
    <t xml:space="preserve">Walker </t>
  </si>
  <si>
    <t xml:space="preserve">Carr </t>
  </si>
  <si>
    <t xml:space="preserve">Louise </t>
  </si>
  <si>
    <t xml:space="preserve">Fay </t>
  </si>
  <si>
    <t xml:space="preserve">Paula </t>
  </si>
  <si>
    <t>Statham</t>
  </si>
  <si>
    <t xml:space="preserve">Graham </t>
  </si>
  <si>
    <t xml:space="preserve">Teal </t>
  </si>
  <si>
    <t>Crowther</t>
  </si>
  <si>
    <t xml:space="preserve">Tania </t>
  </si>
  <si>
    <t>Blackburn</t>
  </si>
  <si>
    <t xml:space="preserve">Roger </t>
  </si>
  <si>
    <t>Iain</t>
  </si>
  <si>
    <t>Threlkeld</t>
  </si>
  <si>
    <t xml:space="preserve">David </t>
  </si>
  <si>
    <t xml:space="preserve">Sally </t>
  </si>
  <si>
    <t>Hackney</t>
  </si>
  <si>
    <t xml:space="preserve">Garry </t>
  </si>
  <si>
    <t>Nicholson</t>
  </si>
  <si>
    <t xml:space="preserve">Karen </t>
  </si>
  <si>
    <t xml:space="preserve">Marsella </t>
  </si>
  <si>
    <t xml:space="preserve">Sharon </t>
  </si>
  <si>
    <t xml:space="preserve">Simon </t>
  </si>
  <si>
    <t>Gorman</t>
  </si>
  <si>
    <t>Boyer</t>
  </si>
  <si>
    <t>Wendy</t>
  </si>
  <si>
    <t>Goodwin</t>
  </si>
  <si>
    <t xml:space="preserve">Armitage </t>
  </si>
  <si>
    <t xml:space="preserve">Claire </t>
  </si>
  <si>
    <t>Guest</t>
  </si>
  <si>
    <t>Gibson</t>
  </si>
  <si>
    <t>Peter</t>
  </si>
  <si>
    <t xml:space="preserve">Ray </t>
  </si>
  <si>
    <t xml:space="preserve">Mooney </t>
  </si>
  <si>
    <t xml:space="preserve">Brian </t>
  </si>
  <si>
    <t>Conroy</t>
  </si>
  <si>
    <t>Carter</t>
  </si>
  <si>
    <t>Chris</t>
  </si>
  <si>
    <t>Tetlow</t>
  </si>
  <si>
    <t xml:space="preserve">Dawn </t>
  </si>
  <si>
    <t>Medlock</t>
  </si>
  <si>
    <t>Laraine</t>
  </si>
  <si>
    <t xml:space="preserve">Penson </t>
  </si>
  <si>
    <t xml:space="preserve">Wendy </t>
  </si>
  <si>
    <t xml:space="preserve">Harrison </t>
  </si>
  <si>
    <t xml:space="preserve">Virginia </t>
  </si>
  <si>
    <t xml:space="preserve">Young </t>
  </si>
  <si>
    <t>Richardson</t>
  </si>
  <si>
    <t>Mawdsley</t>
  </si>
  <si>
    <t>Angela</t>
  </si>
  <si>
    <t>Goulden</t>
  </si>
  <si>
    <t>Rushworth</t>
  </si>
  <si>
    <t>Lesley</t>
  </si>
  <si>
    <t>Henderson</t>
  </si>
  <si>
    <t>Eileen</t>
  </si>
  <si>
    <t>Hiller</t>
  </si>
  <si>
    <t>Carol</t>
  </si>
  <si>
    <t>Lord</t>
  </si>
  <si>
    <t xml:space="preserve">Jenny </t>
  </si>
  <si>
    <t>Janet</t>
  </si>
  <si>
    <t>Paul</t>
  </si>
  <si>
    <t>Wallis</t>
  </si>
  <si>
    <t>Brian</t>
  </si>
  <si>
    <t>Pickersgill</t>
  </si>
  <si>
    <t>Judith</t>
  </si>
  <si>
    <t>Greenwood</t>
  </si>
  <si>
    <t xml:space="preserve">Alison </t>
  </si>
  <si>
    <t>Denise</t>
  </si>
  <si>
    <t>Davey</t>
  </si>
  <si>
    <t>Laura</t>
  </si>
  <si>
    <t xml:space="preserve">Joanne </t>
  </si>
  <si>
    <t xml:space="preserve">Cooke </t>
  </si>
  <si>
    <t xml:space="preserve">Linda </t>
  </si>
  <si>
    <t>Williamson</t>
  </si>
  <si>
    <t>Julia</t>
  </si>
  <si>
    <t>Newsome</t>
  </si>
  <si>
    <t>Lindsay</t>
  </si>
  <si>
    <t>Sykes</t>
  </si>
  <si>
    <t xml:space="preserve">Julie </t>
  </si>
  <si>
    <t xml:space="preserve">Jackie </t>
  </si>
  <si>
    <t>Barker</t>
  </si>
  <si>
    <t xml:space="preserve">Anne </t>
  </si>
  <si>
    <t xml:space="preserve">Cawdron </t>
  </si>
  <si>
    <t>Brear</t>
  </si>
  <si>
    <t>Stott</t>
  </si>
  <si>
    <t>Hull</t>
  </si>
  <si>
    <t>Steph</t>
  </si>
  <si>
    <t>Best Time</t>
  </si>
  <si>
    <t>This Year</t>
  </si>
  <si>
    <t>Points</t>
  </si>
  <si>
    <t>Date</t>
  </si>
  <si>
    <t>Richard</t>
  </si>
  <si>
    <t>Andrew</t>
  </si>
  <si>
    <t>Helen</t>
  </si>
  <si>
    <t>Lunt</t>
  </si>
  <si>
    <t>Roy</t>
  </si>
  <si>
    <t>Tracy</t>
  </si>
  <si>
    <t>Emma</t>
  </si>
  <si>
    <t>Lisa</t>
  </si>
  <si>
    <t>Jessica</t>
  </si>
  <si>
    <t>Overall</t>
  </si>
  <si>
    <t>Graham</t>
  </si>
  <si>
    <t>James</t>
  </si>
  <si>
    <t>Shaw</t>
  </si>
  <si>
    <t>Kate</t>
  </si>
  <si>
    <t>Brown</t>
  </si>
  <si>
    <t>Stephanie</t>
  </si>
  <si>
    <t>Mel</t>
  </si>
  <si>
    <t>Gaby</t>
  </si>
  <si>
    <t>Ferris</t>
  </si>
  <si>
    <t>Liz</t>
  </si>
  <si>
    <t>Dunning</t>
  </si>
  <si>
    <t>Sue</t>
  </si>
  <si>
    <t>Shepherd</t>
  </si>
  <si>
    <t>Mackrill</t>
  </si>
  <si>
    <t>Lupton</t>
  </si>
  <si>
    <t>Andy</t>
  </si>
  <si>
    <t>Robertshaw</t>
  </si>
  <si>
    <t>Sandra</t>
  </si>
  <si>
    <t>Bolton Brow Burner</t>
  </si>
  <si>
    <t>Potts</t>
  </si>
  <si>
    <t>Corns</t>
  </si>
  <si>
    <t>Clare</t>
  </si>
  <si>
    <t>Schofield</t>
  </si>
  <si>
    <t>Gail</t>
  </si>
  <si>
    <t>Haigh</t>
  </si>
  <si>
    <t>Simeon</t>
  </si>
  <si>
    <t>Johnson</t>
  </si>
  <si>
    <t>Stephen</t>
  </si>
  <si>
    <t>Drake</t>
  </si>
  <si>
    <t>Harris</t>
  </si>
  <si>
    <t>Jim</t>
  </si>
  <si>
    <t>Rochelle</t>
  </si>
  <si>
    <t>Ward</t>
  </si>
  <si>
    <t>Noel</t>
  </si>
  <si>
    <t>Doyle</t>
  </si>
  <si>
    <t>Aveyard</t>
  </si>
  <si>
    <t>Whyte</t>
  </si>
  <si>
    <t>Alex</t>
  </si>
  <si>
    <t>Bennett</t>
  </si>
  <si>
    <t>Jennifer</t>
  </si>
  <si>
    <t>Norcliffe</t>
  </si>
  <si>
    <t>Best 7 Events To Count</t>
  </si>
  <si>
    <t>Luke</t>
  </si>
  <si>
    <t>Norman</t>
  </si>
  <si>
    <t>Parrington</t>
  </si>
  <si>
    <t>Derek</t>
  </si>
  <si>
    <t>Roberts</t>
  </si>
  <si>
    <t>Earnshaw</t>
  </si>
  <si>
    <t>Nick</t>
  </si>
  <si>
    <t>Stainland Winter Handicap</t>
  </si>
  <si>
    <t>6ish</t>
  </si>
  <si>
    <t>Thirsk</t>
  </si>
  <si>
    <t>Overgate Hospice</t>
  </si>
  <si>
    <t>Crossgates Vets</t>
  </si>
  <si>
    <t>Kirkwood Hospice</t>
  </si>
  <si>
    <t>Yorkshireman / Macclesfield</t>
  </si>
  <si>
    <t>Half</t>
  </si>
  <si>
    <t>Fell/Road</t>
  </si>
  <si>
    <t>Bronte Way</t>
  </si>
  <si>
    <t>8M</t>
  </si>
  <si>
    <t>Barnsley</t>
  </si>
  <si>
    <t>Viki</t>
  </si>
  <si>
    <t>Donelley</t>
  </si>
  <si>
    <t>Gromitt</t>
  </si>
  <si>
    <t>Lambert</t>
  </si>
  <si>
    <t>Mhairi Claire</t>
  </si>
  <si>
    <t>Deborah</t>
  </si>
  <si>
    <t>Onyskiw</t>
  </si>
  <si>
    <t>Thornley</t>
  </si>
  <si>
    <t>Whitwam-McGregor</t>
  </si>
  <si>
    <r>
      <t>Stainland Lions Club Championship 2015 - Division 1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</si>
  <si>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2015 - Division 1</t>
    </r>
    <r>
      <rPr>
        <b/>
        <u val="single"/>
        <sz val="24"/>
        <color indexed="10"/>
        <rFont val="Calibri"/>
        <family val="2"/>
      </rPr>
      <t xml:space="preserve"> Ladies Only (Trophies to Top 1)</t>
    </r>
  </si>
  <si>
    <r>
      <t>Stainland Lions Club Championship 2015 - Division 2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</si>
  <si>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2015 - Division 3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</si>
  <si>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2015 - Division 4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</si>
  <si>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2015 - Division 5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</si>
  <si>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2015 - Division 6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</si>
  <si>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t>Caroline</t>
  </si>
  <si>
    <t>Ford</t>
  </si>
  <si>
    <t>Fox</t>
  </si>
  <si>
    <t>Hyland</t>
  </si>
  <si>
    <t>Ed</t>
  </si>
  <si>
    <t>Pottinger</t>
  </si>
  <si>
    <t>Ryan</t>
  </si>
  <si>
    <t>Speight</t>
  </si>
  <si>
    <t>Spendlove</t>
  </si>
  <si>
    <t>Michael</t>
  </si>
  <si>
    <t>Carr</t>
  </si>
  <si>
    <t>Martin</t>
  </si>
  <si>
    <t>Simon</t>
  </si>
  <si>
    <t>Howarth</t>
  </si>
  <si>
    <t>Elliott</t>
  </si>
  <si>
    <t>Louise</t>
  </si>
  <si>
    <t>Paula</t>
  </si>
  <si>
    <t>Stevens</t>
  </si>
  <si>
    <t>Mcgregor</t>
  </si>
  <si>
    <t>Hazel</t>
  </si>
  <si>
    <t>Halliday</t>
  </si>
  <si>
    <t>Whiteley</t>
  </si>
  <si>
    <t>Pybus</t>
  </si>
  <si>
    <t>Ward Green</t>
  </si>
  <si>
    <t>5.6M</t>
  </si>
  <si>
    <t>Jane</t>
  </si>
  <si>
    <t>Potter</t>
  </si>
  <si>
    <t>Debbie</t>
  </si>
  <si>
    <t>Hyde</t>
  </si>
  <si>
    <t>Kim</t>
  </si>
  <si>
    <t>Ison</t>
  </si>
  <si>
    <t>Simone</t>
  </si>
  <si>
    <t>Zoledziejewki</t>
  </si>
  <si>
    <t>Lester</t>
  </si>
  <si>
    <t>Trevor</t>
  </si>
  <si>
    <t>Teal</t>
  </si>
  <si>
    <t>Walker</t>
  </si>
  <si>
    <t>Tim</t>
  </si>
  <si>
    <t>Killeen</t>
  </si>
  <si>
    <t>Anne Marie</t>
  </si>
  <si>
    <t>Jenifer</t>
  </si>
  <si>
    <t>Avril</t>
  </si>
  <si>
    <t>Ashley</t>
  </si>
  <si>
    <t>Cavalier</t>
  </si>
  <si>
    <t>Time</t>
  </si>
  <si>
    <t>Colin</t>
  </si>
  <si>
    <t>Wood</t>
  </si>
  <si>
    <t>Gareth</t>
  </si>
  <si>
    <t>Aileen</t>
  </si>
  <si>
    <t>Fay</t>
  </si>
  <si>
    <t>Mackerill</t>
  </si>
  <si>
    <t>Ian</t>
  </si>
  <si>
    <t>Mike</t>
  </si>
  <si>
    <t>35=</t>
  </si>
  <si>
    <t>Mooney</t>
  </si>
  <si>
    <t>Ray</t>
  </si>
  <si>
    <t>Roger</t>
  </si>
  <si>
    <t>Pete</t>
  </si>
  <si>
    <t>Manning</t>
  </si>
  <si>
    <t>Su</t>
  </si>
  <si>
    <t>Cooke</t>
  </si>
  <si>
    <t>Joanne</t>
  </si>
  <si>
    <t>Dawn</t>
  </si>
  <si>
    <t>Eastwood</t>
  </si>
  <si>
    <t>Carl</t>
  </si>
  <si>
    <t>Drinkwater</t>
  </si>
  <si>
    <t>Penson</t>
  </si>
  <si>
    <t>Larraine</t>
  </si>
  <si>
    <t>McGregor</t>
  </si>
  <si>
    <t>Armitage</t>
  </si>
  <si>
    <t>Felakowski</t>
  </si>
  <si>
    <t>Kath</t>
  </si>
  <si>
    <t>Pearson</t>
  </si>
  <si>
    <t>Alison</t>
  </si>
  <si>
    <t>Jenny</t>
  </si>
  <si>
    <t>Zoledziejewski</t>
  </si>
  <si>
    <t>Linda</t>
  </si>
  <si>
    <t>Cawdron</t>
  </si>
  <si>
    <t>Anne</t>
  </si>
  <si>
    <t>Hill</t>
  </si>
  <si>
    <t>Cheryl</t>
  </si>
  <si>
    <t>Laird</t>
  </si>
  <si>
    <t>Lynne</t>
  </si>
  <si>
    <t>Laird-Boldy</t>
  </si>
  <si>
    <t>Justine</t>
  </si>
  <si>
    <t>Jackie</t>
  </si>
  <si>
    <t>85=</t>
  </si>
  <si>
    <t>Sharon</t>
  </si>
  <si>
    <t>Crombie</t>
  </si>
  <si>
    <t>Darrell</t>
  </si>
  <si>
    <t>Bishop</t>
  </si>
  <si>
    <t>Ben</t>
  </si>
  <si>
    <t>Mounsey</t>
  </si>
  <si>
    <t>Mulholland</t>
  </si>
  <si>
    <t>Adam</t>
  </si>
  <si>
    <t>Scratcherd</t>
  </si>
  <si>
    <t>Bill</t>
  </si>
  <si>
    <t>Markley</t>
  </si>
  <si>
    <t>Mags</t>
  </si>
  <si>
    <t>Lindsey</t>
  </si>
  <si>
    <t>Oldfield</t>
  </si>
  <si>
    <t>Kevin</t>
  </si>
  <si>
    <t>Jagger</t>
  </si>
  <si>
    <t>Craig</t>
  </si>
  <si>
    <t>Philips</t>
  </si>
  <si>
    <t xml:space="preserve">Mhairi-Clare </t>
  </si>
  <si>
    <t>Rachael</t>
  </si>
  <si>
    <t>Crossland</t>
  </si>
  <si>
    <t>Tania</t>
  </si>
  <si>
    <t>Karen</t>
  </si>
  <si>
    <t>Marsella</t>
  </si>
  <si>
    <t>Zoe</t>
  </si>
  <si>
    <t>Luna</t>
  </si>
  <si>
    <t>Curry</t>
  </si>
  <si>
    <t>Roberstshaw</t>
  </si>
  <si>
    <t>Miller</t>
  </si>
  <si>
    <t>Macnaughtan</t>
  </si>
  <si>
    <t>Hannele</t>
  </si>
  <si>
    <t>Murphy</t>
  </si>
  <si>
    <t>Tessa</t>
  </si>
  <si>
    <t>Lodge</t>
  </si>
  <si>
    <t>Seager</t>
  </si>
  <si>
    <t>Tanya</t>
  </si>
  <si>
    <t>Rawnsley</t>
  </si>
  <si>
    <t>Sean</t>
  </si>
  <si>
    <t>Grace</t>
  </si>
  <si>
    <t>Ranjit</t>
  </si>
  <si>
    <t>Uppal</t>
  </si>
  <si>
    <t>Cruickshank</t>
  </si>
  <si>
    <t>Catherine</t>
  </si>
  <si>
    <t>Serban</t>
  </si>
  <si>
    <t>George</t>
  </si>
  <si>
    <t>Lawton</t>
  </si>
  <si>
    <t>Rachel</t>
  </si>
  <si>
    <t>Hunter</t>
  </si>
  <si>
    <t>Lory</t>
  </si>
  <si>
    <t>Phillips</t>
  </si>
  <si>
    <t>Rebecca</t>
  </si>
  <si>
    <t>O'Neill</t>
  </si>
  <si>
    <t>Whitwam McGregor</t>
  </si>
  <si>
    <t>Appleyard</t>
  </si>
  <si>
    <t>Colette</t>
  </si>
  <si>
    <t>Croft</t>
  </si>
  <si>
    <t>Abi</t>
  </si>
  <si>
    <r>
      <t>Stainland Lions Club Championship 2015- Handicap Division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</si>
  <si>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2015 - Division 7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</si>
  <si>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t>11-Jan-15 - Blind Handicap - 5 Miles</t>
  </si>
  <si>
    <t>22-Mar-15 - Thirsk - 10 Miles</t>
  </si>
  <si>
    <t>8-Feb-15 - Xcountry Temple Newsham - 5.2 Miles</t>
  </si>
  <si>
    <t>Flat 10K</t>
  </si>
  <si>
    <t>Handicap Time</t>
  </si>
  <si>
    <t>13 &amp; 27-Sep</t>
  </si>
  <si>
    <t>Poole</t>
  </si>
  <si>
    <t>20-May</t>
  </si>
  <si>
    <t>Mccormick</t>
  </si>
  <si>
    <t>Anthony</t>
  </si>
  <si>
    <t>Robinson</t>
  </si>
  <si>
    <t>Pinnington</t>
  </si>
  <si>
    <t>Willox</t>
  </si>
  <si>
    <t>Newill</t>
  </si>
  <si>
    <t>Scott</t>
  </si>
  <si>
    <t>MacKrill</t>
  </si>
  <si>
    <t>Steven</t>
  </si>
  <si>
    <t>Raymond</t>
  </si>
  <si>
    <t>Kimberley</t>
  </si>
  <si>
    <t>Wetherell</t>
  </si>
  <si>
    <t>Sarah</t>
  </si>
  <si>
    <t>Whitworth</t>
  </si>
  <si>
    <t>Anne-Marie</t>
  </si>
  <si>
    <t>Gary</t>
  </si>
  <si>
    <t>Sowerby</t>
  </si>
  <si>
    <t>Scorcher</t>
  </si>
  <si>
    <t>Handicap</t>
  </si>
  <si>
    <t>Performance</t>
  </si>
  <si>
    <t>19-Apr-15 - Overgate Hospice - 10K</t>
  </si>
  <si>
    <t>Overgate</t>
  </si>
  <si>
    <t>Hospice</t>
  </si>
  <si>
    <t>Falkinbridge</t>
  </si>
  <si>
    <t>Jude</t>
  </si>
  <si>
    <t>Faulkner</t>
  </si>
  <si>
    <t>Arnold</t>
  </si>
  <si>
    <t>Hall</t>
  </si>
  <si>
    <t>Huddersfield</t>
  </si>
  <si>
    <t>Achieved</t>
  </si>
  <si>
    <t>Halifax</t>
  </si>
  <si>
    <t>Best</t>
  </si>
  <si>
    <t>95% Weighting</t>
  </si>
  <si>
    <t>O'Shaugnessey</t>
  </si>
  <si>
    <t>Fiona</t>
  </si>
  <si>
    <t>Helen Windsor</t>
  </si>
  <si>
    <t>Flat Cap</t>
  </si>
  <si>
    <t>Butterworth</t>
  </si>
  <si>
    <t>Katie</t>
  </si>
  <si>
    <t>Bari</t>
  </si>
  <si>
    <t>Shabana</t>
  </si>
  <si>
    <t>May</t>
  </si>
  <si>
    <t>Nikki</t>
  </si>
  <si>
    <t>Blackman</t>
  </si>
  <si>
    <t>Michelle</t>
  </si>
  <si>
    <t>Bainbridge</t>
  </si>
  <si>
    <t>Stacey</t>
  </si>
  <si>
    <t>Stephenson</t>
  </si>
  <si>
    <t>Ginny</t>
  </si>
  <si>
    <t>Chapman</t>
  </si>
  <si>
    <t>Coman</t>
  </si>
  <si>
    <t>Martina</t>
  </si>
  <si>
    <t>Noonan-Dunnett</t>
  </si>
  <si>
    <t>Cartwright</t>
  </si>
  <si>
    <t>Melanie</t>
  </si>
  <si>
    <t>16-May-15 - Sowerby Scorcher - 10K</t>
  </si>
  <si>
    <t>Race</t>
  </si>
  <si>
    <t>Naylor</t>
  </si>
  <si>
    <t>Lorraine</t>
  </si>
  <si>
    <t>Cameron</t>
  </si>
  <si>
    <t>Claire</t>
  </si>
  <si>
    <t>Kimberly</t>
  </si>
  <si>
    <t>Garry</t>
  </si>
  <si>
    <t>Brindle</t>
  </si>
  <si>
    <t>Jamie</t>
  </si>
  <si>
    <t>Fradgley</t>
  </si>
  <si>
    <t>Mag's</t>
  </si>
  <si>
    <t>Beaver</t>
  </si>
  <si>
    <t>Dave</t>
  </si>
  <si>
    <t>Smerdon</t>
  </si>
  <si>
    <t>Loraine</t>
  </si>
  <si>
    <t>Bolton Brow</t>
  </si>
  <si>
    <t>Burner</t>
  </si>
  <si>
    <t>Hoyle</t>
  </si>
  <si>
    <t>20=</t>
  </si>
  <si>
    <t>Hudds/Halifax Park Run</t>
  </si>
  <si>
    <t>Downs</t>
  </si>
  <si>
    <t>Christine</t>
  </si>
  <si>
    <t>Riley</t>
  </si>
  <si>
    <t>Feris</t>
  </si>
  <si>
    <t>Victoria</t>
  </si>
  <si>
    <t>Jo</t>
  </si>
  <si>
    <t>Lumb</t>
  </si>
  <si>
    <t>Haliday</t>
  </si>
  <si>
    <t>Anna</t>
  </si>
  <si>
    <t>Greaves</t>
  </si>
  <si>
    <t>7-June-15 - Bolton Brow Burner - 10K</t>
  </si>
  <si>
    <t>Bolton</t>
  </si>
  <si>
    <t>Brow</t>
  </si>
  <si>
    <t>Windsor</t>
  </si>
  <si>
    <t>Kennedy-Smith</t>
  </si>
  <si>
    <t>Marshall</t>
  </si>
  <si>
    <t>Butterfield</t>
  </si>
  <si>
    <t>Pierson</t>
  </si>
  <si>
    <t>Senior</t>
  </si>
  <si>
    <t>King</t>
  </si>
  <si>
    <t>Jan</t>
  </si>
  <si>
    <t>Baird</t>
  </si>
  <si>
    <t>Hopkins</t>
  </si>
  <si>
    <t>Stefanie</t>
  </si>
  <si>
    <t>ian</t>
  </si>
  <si>
    <t>Hanson</t>
  </si>
  <si>
    <t>Marlor-Gage</t>
  </si>
  <si>
    <t>Terry</t>
  </si>
  <si>
    <t>Pamela</t>
  </si>
  <si>
    <t>Genevieve</t>
  </si>
  <si>
    <t>1-July-15 - Helen Windsor - 10K</t>
  </si>
  <si>
    <t>Crossgates</t>
  </si>
  <si>
    <t>Vets</t>
  </si>
  <si>
    <t>Lucy</t>
  </si>
  <si>
    <t>Matt</t>
  </si>
  <si>
    <t>Virginia</t>
  </si>
  <si>
    <t xml:space="preserve">Pierson </t>
  </si>
  <si>
    <t>25=</t>
  </si>
  <si>
    <t>Benn</t>
  </si>
  <si>
    <t>Susan</t>
  </si>
  <si>
    <t>Cash</t>
  </si>
  <si>
    <t>Fitzgerald</t>
  </si>
  <si>
    <t>7-July-15 - CROSSGATES VETS - 5.2 MILES</t>
  </si>
  <si>
    <t>Woodland</t>
  </si>
  <si>
    <t>Challenge</t>
  </si>
  <si>
    <t>Patricia</t>
  </si>
  <si>
    <t>Hallowell</t>
  </si>
  <si>
    <t>Jaggar</t>
  </si>
  <si>
    <t>Mallinson</t>
  </si>
  <si>
    <t>jenny</t>
  </si>
  <si>
    <t>Lunn</t>
  </si>
  <si>
    <t>Anne-marie</t>
  </si>
  <si>
    <t>10-July-15 - WOODLAND CHALLENGE - 6.5 MILES</t>
  </si>
  <si>
    <t>6.5M</t>
  </si>
  <si>
    <t>Thelma</t>
  </si>
  <si>
    <t>Lawler</t>
  </si>
  <si>
    <t>Snale</t>
  </si>
  <si>
    <t>29-July-15 - FLAT CAP - 5 MILES</t>
  </si>
  <si>
    <t>Cap</t>
  </si>
  <si>
    <t>Crow</t>
  </si>
  <si>
    <t>Andrena</t>
  </si>
  <si>
    <t>Saripo</t>
  </si>
  <si>
    <t>Burnett</t>
  </si>
  <si>
    <t>4-August-15 - CROW HILL - 5 MILES</t>
  </si>
  <si>
    <t>Kirkwood</t>
  </si>
  <si>
    <t>Jon</t>
  </si>
  <si>
    <t>Dunn</t>
  </si>
  <si>
    <t>16=</t>
  </si>
  <si>
    <t>23-Sep</t>
  </si>
  <si>
    <t>20-May+23-Sep</t>
  </si>
  <si>
    <t>Vanessa</t>
  </si>
  <si>
    <t>24=</t>
  </si>
  <si>
    <t>Edward</t>
  </si>
  <si>
    <t>Burke</t>
  </si>
  <si>
    <t>6-September-15 - KIRKWOOD HOSPICE - 10K</t>
  </si>
  <si>
    <t>Yorkshireman</t>
  </si>
  <si>
    <t>Fell/Trail</t>
  </si>
  <si>
    <t>Macclesfield</t>
  </si>
  <si>
    <t>Brook</t>
  </si>
  <si>
    <t>Chambers</t>
  </si>
  <si>
    <t>Quigley</t>
  </si>
  <si>
    <t>38% Adjustment</t>
  </si>
  <si>
    <t>O'Brien</t>
  </si>
  <si>
    <t>Xcountry Dewsbury</t>
  </si>
  <si>
    <t>29-Nov</t>
  </si>
  <si>
    <t>13-Dec</t>
  </si>
  <si>
    <t>Vicky</t>
  </si>
  <si>
    <t>Isaac</t>
  </si>
  <si>
    <t>20-May-15 &amp; 23-Sep-15 - 3K Track Race</t>
  </si>
  <si>
    <t>Jason</t>
  </si>
  <si>
    <t>Berry</t>
  </si>
  <si>
    <t>Race 1</t>
  </si>
  <si>
    <t>Race 2</t>
  </si>
  <si>
    <t>13-Sep-15 - Yorkshireman &amp; 27-Sep-15 Macclesfield Half Marathons</t>
  </si>
  <si>
    <t>Bronte</t>
  </si>
  <si>
    <t>Way</t>
  </si>
  <si>
    <t>Dyson</t>
  </si>
  <si>
    <t>Cavelier</t>
  </si>
  <si>
    <t>25-October-15 - BRONTE WAY - 8 MILES</t>
  </si>
  <si>
    <t>Spen</t>
  </si>
  <si>
    <t>4=</t>
  </si>
  <si>
    <t>Thorne</t>
  </si>
  <si>
    <t>15=</t>
  </si>
  <si>
    <t>8-November-15 - SPEN VETS - 5 MILES</t>
  </si>
  <si>
    <t>22=</t>
  </si>
  <si>
    <t>102=</t>
  </si>
  <si>
    <t>Beaumont</t>
  </si>
  <si>
    <t>12=</t>
  </si>
  <si>
    <t>Jimmy</t>
  </si>
  <si>
    <t>29-November-15 - BARNSLEY - 10K</t>
  </si>
  <si>
    <t>Green</t>
  </si>
  <si>
    <t>111=</t>
  </si>
  <si>
    <t>113=</t>
  </si>
  <si>
    <t>115=</t>
  </si>
  <si>
    <t>21=</t>
  </si>
  <si>
    <t>Nicki</t>
  </si>
  <si>
    <t>Jonnie</t>
  </si>
  <si>
    <t>Mullholland</t>
  </si>
  <si>
    <t>Gav</t>
  </si>
  <si>
    <t>Jonny</t>
  </si>
  <si>
    <t>Lee</t>
  </si>
  <si>
    <t>Marsden </t>
  </si>
  <si>
    <t xml:space="preserve">Severn </t>
  </si>
  <si>
    <t>lindsey</t>
  </si>
  <si>
    <t>Will</t>
  </si>
  <si>
    <t>Culpan</t>
  </si>
  <si>
    <t>Patrick </t>
  </si>
  <si>
    <t xml:space="preserve">Hallam </t>
  </si>
  <si>
    <t>Pickergill</t>
  </si>
  <si>
    <t>Walker </t>
  </si>
  <si>
    <t>13-December-15 - DEWSBURY XCOUNTRY - 5.2 Miles</t>
  </si>
  <si>
    <t>19=</t>
  </si>
  <si>
    <t>`17</t>
  </si>
  <si>
    <t>3=</t>
  </si>
  <si>
    <t>7=</t>
  </si>
  <si>
    <t>Gledhill</t>
  </si>
  <si>
    <t>27-DECEMBER-15 - WARD GREEN - 5.6 MILES</t>
  </si>
  <si>
    <r>
      <rPr>
        <b/>
        <sz val="10"/>
        <rFont val="Arial"/>
        <family val="2"/>
      </rPr>
      <t>Flat 10K</t>
    </r>
  </si>
  <si>
    <t>133=</t>
  </si>
  <si>
    <t>5=</t>
  </si>
  <si>
    <t>11=</t>
  </si>
  <si>
    <t>27=</t>
  </si>
  <si>
    <t>34=</t>
  </si>
  <si>
    <t>38=</t>
  </si>
  <si>
    <t>58=</t>
  </si>
  <si>
    <t>98=</t>
  </si>
  <si>
    <t>104=</t>
  </si>
  <si>
    <t>107=</t>
  </si>
  <si>
    <t>118=</t>
  </si>
  <si>
    <t>122=</t>
  </si>
  <si>
    <t>127=</t>
  </si>
  <si>
    <t>Huddersfield &amp; Halifax Park Run 2015 Results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</si>
</sst>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\(#,##0\)"/>
    <numFmt numFmtId="177" formatCode="[$-F400]h:mm:ss\ AM/PM"/>
    <numFmt numFmtId="178" formatCode="0.000"/>
    <numFmt numFmtId="179" formatCode="0.0%"/>
    <numFmt numFmtId="180" formatCode="0.0"/>
    <numFmt numFmtId="181" formatCode="hh:mm:ss;@"/>
    <numFmt numFmtId="182" formatCode="[mm]:ss"/>
  </numFmts>
  <fonts count="4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u val="single"/>
      <sz val="24"/>
      <color indexed="10"/>
      <name val="Calibri"/>
      <family val="2"/>
    </font>
    <font>
      <b/>
      <u val="single"/>
      <sz val="24"/>
      <color indexed="8"/>
      <name val="Calibri"/>
      <family val="2"/>
    </font>
    <font>
      <b/>
      <sz val="16"/>
      <color indexed="36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13"/>
      <name val="Calibri"/>
      <family val="2"/>
    </font>
    <font>
      <sz val="10"/>
      <color indexed="13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sz val="10"/>
      <name val="Trebuchet MS"/>
      <family val="2"/>
    </font>
    <font>
      <sz val="10"/>
      <color indexed="63"/>
      <name val="Arial"/>
      <family val="2"/>
    </font>
    <font>
      <sz val="10"/>
      <color indexed="8"/>
      <name val="Trebuchet MS"/>
      <family val="2"/>
    </font>
    <font>
      <sz val="9"/>
      <color indexed="8"/>
      <name val="Verdana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11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medium"/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>
        <color indexed="10"/>
      </bottom>
    </border>
    <border>
      <left style="double">
        <color indexed="10"/>
      </left>
      <right style="medium"/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>
        <color indexed="10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medium"/>
      <right style="double">
        <color indexed="10"/>
      </right>
      <top style="thin"/>
      <bottom style="double">
        <color indexed="6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/>
      <right style="medium"/>
      <top style="medium"/>
      <bottom style="medium">
        <color indexed="17"/>
      </bottom>
    </border>
    <border>
      <left>
        <color indexed="63"/>
      </left>
      <right style="medium"/>
      <top style="medium"/>
      <bottom style="medium">
        <color indexed="17"/>
      </bottom>
    </border>
    <border>
      <left style="thin"/>
      <right style="thin"/>
      <top style="medium"/>
      <bottom style="medium">
        <color indexed="17"/>
      </bottom>
    </border>
    <border>
      <left style="thin"/>
      <right style="medium"/>
      <top style="medium"/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medium"/>
      <right style="thin"/>
      <top style="double">
        <color indexed="17"/>
      </top>
      <bottom style="medium"/>
    </border>
    <border>
      <left style="thin"/>
      <right style="thin"/>
      <top style="double">
        <color indexed="17"/>
      </top>
      <bottom>
        <color indexed="63"/>
      </bottom>
    </border>
    <border>
      <left style="thin"/>
      <right style="medium"/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 style="double">
        <color indexed="17"/>
      </left>
      <right style="medium"/>
      <top style="medium"/>
      <bottom style="medium">
        <color indexed="17"/>
      </bottom>
    </border>
    <border>
      <left style="double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double">
        <color indexed="17"/>
      </left>
      <right style="medium">
        <color indexed="17"/>
      </right>
      <top style="double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thin">
        <color indexed="17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/>
      <top style="double">
        <color indexed="10"/>
      </top>
      <bottom>
        <color indexed="63"/>
      </bottom>
    </border>
    <border>
      <left style="medium"/>
      <right style="medium"/>
      <top style="double">
        <color indexed="10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60"/>
      </diagonal>
    </border>
    <border diagonalUp="1" diagonalDown="1"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 style="thin">
        <color indexed="17"/>
      </diagonal>
    </border>
    <border diagonalUp="1" diagonalDown="1">
      <left style="thin"/>
      <right style="thin"/>
      <top style="thin"/>
      <bottom style="thin"/>
      <diagonal style="thin">
        <color indexed="10"/>
      </diagonal>
    </border>
    <border diagonalUp="1" diagonalDown="1">
      <left style="medium"/>
      <right style="thin"/>
      <top style="thin"/>
      <bottom style="thin"/>
      <diagonal style="thin">
        <color indexed="60"/>
      </diagonal>
    </border>
    <border diagonalUp="1" diagonalDown="1">
      <left style="medium"/>
      <right style="thin"/>
      <top style="medium"/>
      <bottom style="thin"/>
      <diagonal style="thin">
        <color indexed="10"/>
      </diagonal>
    </border>
    <border diagonalUp="1" diagonalDown="1">
      <left style="thin"/>
      <right style="thin"/>
      <top style="medium"/>
      <bottom style="thin"/>
      <diagonal style="thin">
        <color indexed="10"/>
      </diagonal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 diagonalDown="1">
      <left style="medium"/>
      <right style="thin"/>
      <top style="thin"/>
      <bottom style="thin"/>
      <diagonal style="thin">
        <color indexed="10"/>
      </diagonal>
    </border>
    <border>
      <left style="medium"/>
      <right style="double">
        <color indexed="10"/>
      </right>
      <top>
        <color indexed="63"/>
      </top>
      <bottom style="medium"/>
    </border>
    <border>
      <left style="medium"/>
      <right style="double">
        <color indexed="10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" fontId="1" fillId="0" borderId="14" xfId="0" applyNumberFormat="1" applyFont="1" applyFill="1" applyBorder="1" applyAlignment="1">
      <alignment horizontal="center"/>
    </xf>
    <xf numFmtId="16" fontId="1" fillId="0" borderId="15" xfId="0" applyNumberFormat="1" applyFont="1" applyFill="1" applyBorder="1" applyAlignment="1">
      <alignment horizontal="center"/>
    </xf>
    <xf numFmtId="16" fontId="1" fillId="0" borderId="15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16" fontId="1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/>
    </xf>
    <xf numFmtId="0" fontId="0" fillId="24" borderId="18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24" borderId="35" xfId="0" applyFont="1" applyFill="1" applyBorder="1" applyAlignment="1">
      <alignment horizontal="right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10" fillId="0" borderId="0" xfId="0" applyFont="1" applyAlignment="1">
      <alignment/>
    </xf>
    <xf numFmtId="0" fontId="0" fillId="24" borderId="48" xfId="0" applyFill="1" applyBorder="1" applyAlignment="1">
      <alignment/>
    </xf>
    <xf numFmtId="0" fontId="3" fillId="24" borderId="4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right" vertical="center" wrapText="1"/>
    </xf>
    <xf numFmtId="0" fontId="0" fillId="25" borderId="33" xfId="0" applyFill="1" applyBorder="1" applyAlignment="1">
      <alignment horizontal="center"/>
    </xf>
    <xf numFmtId="0" fontId="0" fillId="25" borderId="34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48" xfId="0" applyFill="1" applyBorder="1" applyAlignment="1">
      <alignment/>
    </xf>
    <xf numFmtId="0" fontId="3" fillId="25" borderId="48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right" vertical="center" wrapText="1"/>
    </xf>
    <xf numFmtId="0" fontId="2" fillId="25" borderId="35" xfId="0" applyFont="1" applyFill="1" applyBorder="1" applyAlignment="1">
      <alignment horizontal="right"/>
    </xf>
    <xf numFmtId="0" fontId="0" fillId="25" borderId="30" xfId="0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41" xfId="0" applyFill="1" applyBorder="1" applyAlignment="1">
      <alignment/>
    </xf>
    <xf numFmtId="0" fontId="2" fillId="25" borderId="49" xfId="0" applyFont="1" applyFill="1" applyBorder="1" applyAlignment="1">
      <alignment horizontal="right"/>
    </xf>
    <xf numFmtId="0" fontId="0" fillId="25" borderId="31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45" xfId="0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47" xfId="0" applyFill="1" applyBorder="1" applyAlignment="1">
      <alignment/>
    </xf>
    <xf numFmtId="0" fontId="4" fillId="0" borderId="50" xfId="0" applyFont="1" applyFill="1" applyBorder="1" applyAlignment="1">
      <alignment horizontal="right"/>
    </xf>
    <xf numFmtId="15" fontId="0" fillId="0" borderId="0" xfId="0" applyNumberFormat="1" applyFill="1" applyAlignment="1">
      <alignment/>
    </xf>
    <xf numFmtId="0" fontId="12" fillId="0" borderId="0" xfId="0" applyFont="1" applyFill="1" applyAlignment="1">
      <alignment horizontal="right"/>
    </xf>
    <xf numFmtId="1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2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26" borderId="38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52" xfId="0" applyFill="1" applyBorder="1" applyAlignment="1">
      <alignment/>
    </xf>
    <xf numFmtId="0" fontId="0" fillId="26" borderId="44" xfId="0" applyFill="1" applyBorder="1" applyAlignment="1">
      <alignment/>
    </xf>
    <xf numFmtId="0" fontId="0" fillId="26" borderId="45" xfId="0" applyFill="1" applyBorder="1" applyAlignment="1">
      <alignment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/>
    </xf>
    <xf numFmtId="0" fontId="0" fillId="26" borderId="18" xfId="0" applyFill="1" applyBorder="1" applyAlignment="1">
      <alignment horizontal="center"/>
    </xf>
    <xf numFmtId="0" fontId="0" fillId="26" borderId="0" xfId="0" applyFill="1" applyBorder="1" applyAlignment="1">
      <alignment/>
    </xf>
    <xf numFmtId="0" fontId="3" fillId="26" borderId="53" xfId="0" applyFont="1" applyFill="1" applyBorder="1" applyAlignment="1">
      <alignment horizontal="center" vertical="center" wrapText="1"/>
    </xf>
    <xf numFmtId="0" fontId="1" fillId="26" borderId="53" xfId="0" applyFont="1" applyFill="1" applyBorder="1" applyAlignment="1">
      <alignment horizontal="right" vertical="center" textRotation="90" wrapText="1"/>
    </xf>
    <xf numFmtId="0" fontId="0" fillId="27" borderId="33" xfId="0" applyFill="1" applyBorder="1" applyAlignment="1">
      <alignment horizontal="center"/>
    </xf>
    <xf numFmtId="0" fontId="0" fillId="27" borderId="34" xfId="0" applyFill="1" applyBorder="1" applyAlignment="1">
      <alignment/>
    </xf>
    <xf numFmtId="0" fontId="0" fillId="27" borderId="18" xfId="0" applyFill="1" applyBorder="1" applyAlignment="1">
      <alignment horizontal="center"/>
    </xf>
    <xf numFmtId="0" fontId="0" fillId="27" borderId="0" xfId="0" applyFill="1" applyBorder="1" applyAlignment="1">
      <alignment/>
    </xf>
    <xf numFmtId="0" fontId="0" fillId="27" borderId="48" xfId="0" applyFill="1" applyBorder="1" applyAlignment="1">
      <alignment/>
    </xf>
    <xf numFmtId="0" fontId="3" fillId="27" borderId="48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/>
    </xf>
    <xf numFmtId="0" fontId="4" fillId="27" borderId="0" xfId="0" applyFont="1" applyFill="1" applyBorder="1" applyAlignment="1">
      <alignment horizontal="right" vertical="center" wrapText="1"/>
    </xf>
    <xf numFmtId="0" fontId="0" fillId="27" borderId="35" xfId="0" applyFill="1" applyBorder="1" applyAlignment="1">
      <alignment horizontal="right"/>
    </xf>
    <xf numFmtId="0" fontId="0" fillId="27" borderId="30" xfId="0" applyFill="1" applyBorder="1" applyAlignment="1">
      <alignment/>
    </xf>
    <xf numFmtId="0" fontId="0" fillId="27" borderId="38" xfId="0" applyFill="1" applyBorder="1" applyAlignment="1">
      <alignment/>
    </xf>
    <xf numFmtId="0" fontId="0" fillId="27" borderId="39" xfId="0" applyFill="1" applyBorder="1" applyAlignment="1">
      <alignment/>
    </xf>
    <xf numFmtId="0" fontId="2" fillId="27" borderId="35" xfId="0" applyFont="1" applyFill="1" applyBorder="1" applyAlignment="1">
      <alignment horizontal="right"/>
    </xf>
    <xf numFmtId="0" fontId="0" fillId="27" borderId="36" xfId="0" applyFill="1" applyBorder="1" applyAlignment="1">
      <alignment/>
    </xf>
    <xf numFmtId="0" fontId="0" fillId="27" borderId="40" xfId="0" applyFill="1" applyBorder="1" applyAlignment="1">
      <alignment/>
    </xf>
    <xf numFmtId="0" fontId="0" fillId="27" borderId="37" xfId="0" applyFill="1" applyBorder="1" applyAlignment="1">
      <alignment/>
    </xf>
    <xf numFmtId="0" fontId="0" fillId="27" borderId="54" xfId="0" applyFill="1" applyBorder="1" applyAlignment="1">
      <alignment/>
    </xf>
    <xf numFmtId="0" fontId="2" fillId="27" borderId="49" xfId="0" applyFont="1" applyFill="1" applyBorder="1" applyAlignment="1">
      <alignment horizontal="right"/>
    </xf>
    <xf numFmtId="0" fontId="0" fillId="27" borderId="31" xfId="0" applyFill="1" applyBorder="1" applyAlignment="1">
      <alignment/>
    </xf>
    <xf numFmtId="0" fontId="0" fillId="27" borderId="43" xfId="0" applyFill="1" applyBorder="1" applyAlignment="1">
      <alignment/>
    </xf>
    <xf numFmtId="0" fontId="0" fillId="27" borderId="44" xfId="0" applyFill="1" applyBorder="1" applyAlignment="1">
      <alignment/>
    </xf>
    <xf numFmtId="0" fontId="0" fillId="27" borderId="45" xfId="0" applyFill="1" applyBorder="1" applyAlignment="1">
      <alignment/>
    </xf>
    <xf numFmtId="0" fontId="0" fillId="27" borderId="46" xfId="0" applyFill="1" applyBorder="1" applyAlignment="1">
      <alignment/>
    </xf>
    <xf numFmtId="0" fontId="0" fillId="27" borderId="47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26" borderId="34" xfId="0" applyFont="1" applyFill="1" applyBorder="1" applyAlignment="1">
      <alignment horizontal="right"/>
    </xf>
    <xf numFmtId="16" fontId="1" fillId="26" borderId="0" xfId="0" applyNumberFormat="1" applyFont="1" applyFill="1" applyBorder="1" applyAlignment="1">
      <alignment horizontal="right"/>
    </xf>
    <xf numFmtId="21" fontId="6" fillId="27" borderId="30" xfId="0" applyNumberFormat="1" applyFont="1" applyFill="1" applyBorder="1" applyAlignment="1">
      <alignment/>
    </xf>
    <xf numFmtId="21" fontId="6" fillId="27" borderId="31" xfId="0" applyNumberFormat="1" applyFont="1" applyFill="1" applyBorder="1" applyAlignment="1">
      <alignment/>
    </xf>
    <xf numFmtId="0" fontId="7" fillId="27" borderId="55" xfId="0" applyFont="1" applyFill="1" applyBorder="1" applyAlignment="1">
      <alignment/>
    </xf>
    <xf numFmtId="0" fontId="7" fillId="27" borderId="56" xfId="0" applyFont="1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48" xfId="0" applyFill="1" applyBorder="1" applyAlignment="1">
      <alignment/>
    </xf>
    <xf numFmtId="0" fontId="3" fillId="28" borderId="48" xfId="0" applyFont="1" applyFill="1" applyBorder="1" applyAlignment="1">
      <alignment horizontal="center" vertical="center" wrapText="1"/>
    </xf>
    <xf numFmtId="0" fontId="4" fillId="28" borderId="53" xfId="0" applyFont="1" applyFill="1" applyBorder="1" applyAlignment="1">
      <alignment horizontal="right" vertical="center" wrapText="1"/>
    </xf>
    <xf numFmtId="0" fontId="4" fillId="28" borderId="0" xfId="0" applyFont="1" applyFill="1" applyBorder="1" applyAlignment="1">
      <alignment horizontal="right" vertical="center" wrapText="1"/>
    </xf>
    <xf numFmtId="0" fontId="0" fillId="29" borderId="0" xfId="0" applyFill="1" applyBorder="1" applyAlignment="1">
      <alignment/>
    </xf>
    <xf numFmtId="0" fontId="0" fillId="29" borderId="48" xfId="0" applyFill="1" applyBorder="1" applyAlignment="1">
      <alignment/>
    </xf>
    <xf numFmtId="0" fontId="3" fillId="29" borderId="48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right" vertical="center" wrapText="1"/>
    </xf>
    <xf numFmtId="0" fontId="15" fillId="29" borderId="30" xfId="0" applyFont="1" applyFill="1" applyBorder="1" applyAlignment="1">
      <alignment/>
    </xf>
    <xf numFmtId="0" fontId="15" fillId="29" borderId="38" xfId="0" applyFont="1" applyFill="1" applyBorder="1" applyAlignment="1">
      <alignment/>
    </xf>
    <xf numFmtId="0" fontId="15" fillId="29" borderId="40" xfId="0" applyFont="1" applyFill="1" applyBorder="1" applyAlignment="1">
      <alignment/>
    </xf>
    <xf numFmtId="0" fontId="15" fillId="29" borderId="36" xfId="0" applyFont="1" applyFill="1" applyBorder="1" applyAlignment="1">
      <alignment/>
    </xf>
    <xf numFmtId="0" fontId="13" fillId="28" borderId="57" xfId="0" applyFont="1" applyFill="1" applyBorder="1" applyAlignment="1">
      <alignment/>
    </xf>
    <xf numFmtId="0" fontId="13" fillId="28" borderId="58" xfId="0" applyFont="1" applyFill="1" applyBorder="1" applyAlignment="1">
      <alignment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3" fillId="28" borderId="63" xfId="0" applyFont="1" applyFill="1" applyBorder="1" applyAlignment="1">
      <alignment/>
    </xf>
    <xf numFmtId="0" fontId="13" fillId="28" borderId="64" xfId="0" applyFont="1" applyFill="1" applyBorder="1" applyAlignment="1">
      <alignment/>
    </xf>
    <xf numFmtId="0" fontId="13" fillId="28" borderId="65" xfId="0" applyFont="1" applyFill="1" applyBorder="1" applyAlignment="1">
      <alignment/>
    </xf>
    <xf numFmtId="0" fontId="13" fillId="28" borderId="66" xfId="0" applyFont="1" applyFill="1" applyBorder="1" applyAlignment="1">
      <alignment/>
    </xf>
    <xf numFmtId="0" fontId="13" fillId="28" borderId="67" xfId="0" applyFont="1" applyFill="1" applyBorder="1" applyAlignment="1">
      <alignment/>
    </xf>
    <xf numFmtId="0" fontId="13" fillId="28" borderId="68" xfId="0" applyFont="1" applyFill="1" applyBorder="1" applyAlignment="1">
      <alignment/>
    </xf>
    <xf numFmtId="0" fontId="0" fillId="28" borderId="69" xfId="0" applyFill="1" applyBorder="1" applyAlignment="1">
      <alignment horizontal="center"/>
    </xf>
    <xf numFmtId="0" fontId="0" fillId="28" borderId="70" xfId="0" applyFill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28" borderId="75" xfId="0" applyFill="1" applyBorder="1" applyAlignment="1">
      <alignment horizontal="center"/>
    </xf>
    <xf numFmtId="0" fontId="1" fillId="28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right"/>
    </xf>
    <xf numFmtId="0" fontId="14" fillId="28" borderId="78" xfId="0" applyFont="1" applyFill="1" applyBorder="1" applyAlignment="1">
      <alignment horizontal="right"/>
    </xf>
    <xf numFmtId="0" fontId="13" fillId="28" borderId="79" xfId="0" applyFont="1" applyFill="1" applyBorder="1" applyAlignment="1">
      <alignment/>
    </xf>
    <xf numFmtId="0" fontId="13" fillId="28" borderId="78" xfId="0" applyFont="1" applyFill="1" applyBorder="1" applyAlignment="1">
      <alignment horizontal="right"/>
    </xf>
    <xf numFmtId="0" fontId="14" fillId="28" borderId="80" xfId="0" applyFont="1" applyFill="1" applyBorder="1" applyAlignment="1">
      <alignment horizontal="right"/>
    </xf>
    <xf numFmtId="0" fontId="13" fillId="28" borderId="81" xfId="0" applyFont="1" applyFill="1" applyBorder="1" applyAlignment="1">
      <alignment/>
    </xf>
    <xf numFmtId="0" fontId="13" fillId="28" borderId="82" xfId="0" applyFont="1" applyFill="1" applyBorder="1" applyAlignment="1">
      <alignment/>
    </xf>
    <xf numFmtId="0" fontId="13" fillId="28" borderId="83" xfId="0" applyFont="1" applyFill="1" applyBorder="1" applyAlignment="1">
      <alignment/>
    </xf>
    <xf numFmtId="0" fontId="13" fillId="28" borderId="84" xfId="0" applyFont="1" applyFill="1" applyBorder="1" applyAlignment="1">
      <alignment/>
    </xf>
    <xf numFmtId="0" fontId="13" fillId="28" borderId="85" xfId="0" applyFont="1" applyFill="1" applyBorder="1" applyAlignment="1">
      <alignment/>
    </xf>
    <xf numFmtId="0" fontId="13" fillId="28" borderId="86" xfId="0" applyFont="1" applyFill="1" applyBorder="1" applyAlignment="1">
      <alignment/>
    </xf>
    <xf numFmtId="0" fontId="14" fillId="28" borderId="87" xfId="0" applyFont="1" applyFill="1" applyBorder="1" applyAlignment="1">
      <alignment horizontal="right"/>
    </xf>
    <xf numFmtId="0" fontId="13" fillId="28" borderId="88" xfId="0" applyFont="1" applyFill="1" applyBorder="1" applyAlignment="1">
      <alignment/>
    </xf>
    <xf numFmtId="0" fontId="13" fillId="28" borderId="89" xfId="0" applyFont="1" applyFill="1" applyBorder="1" applyAlignment="1">
      <alignment/>
    </xf>
    <xf numFmtId="0" fontId="13" fillId="28" borderId="90" xfId="0" applyFont="1" applyFill="1" applyBorder="1" applyAlignment="1">
      <alignment/>
    </xf>
    <xf numFmtId="0" fontId="15" fillId="29" borderId="91" xfId="0" applyFont="1" applyFill="1" applyBorder="1" applyAlignment="1">
      <alignment/>
    </xf>
    <xf numFmtId="0" fontId="15" fillId="29" borderId="92" xfId="0" applyFont="1" applyFill="1" applyBorder="1" applyAlignment="1">
      <alignment/>
    </xf>
    <xf numFmtId="0" fontId="0" fillId="29" borderId="93" xfId="0" applyFill="1" applyBorder="1" applyAlignment="1">
      <alignment horizontal="center"/>
    </xf>
    <xf numFmtId="0" fontId="0" fillId="29" borderId="94" xfId="0" applyFill="1" applyBorder="1" applyAlignment="1">
      <alignment/>
    </xf>
    <xf numFmtId="0" fontId="1" fillId="0" borderId="95" xfId="0" applyFont="1" applyFill="1" applyBorder="1" applyAlignment="1">
      <alignment horizontal="center"/>
    </xf>
    <xf numFmtId="0" fontId="0" fillId="29" borderId="96" xfId="0" applyFill="1" applyBorder="1" applyAlignment="1">
      <alignment horizontal="center"/>
    </xf>
    <xf numFmtId="0" fontId="1" fillId="29" borderId="96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right"/>
    </xf>
    <xf numFmtId="0" fontId="16" fillId="29" borderId="98" xfId="0" applyFont="1" applyFill="1" applyBorder="1" applyAlignment="1">
      <alignment horizontal="right"/>
    </xf>
    <xf numFmtId="0" fontId="15" fillId="29" borderId="99" xfId="0" applyFont="1" applyFill="1" applyBorder="1" applyAlignment="1">
      <alignment/>
    </xf>
    <xf numFmtId="0" fontId="16" fillId="29" borderId="100" xfId="0" applyFont="1" applyFill="1" applyBorder="1" applyAlignment="1">
      <alignment horizontal="right"/>
    </xf>
    <xf numFmtId="0" fontId="15" fillId="29" borderId="101" xfId="0" applyFont="1" applyFill="1" applyBorder="1" applyAlignment="1">
      <alignment/>
    </xf>
    <xf numFmtId="0" fontId="15" fillId="29" borderId="102" xfId="0" applyFont="1" applyFill="1" applyBorder="1" applyAlignment="1">
      <alignment/>
    </xf>
    <xf numFmtId="0" fontId="15" fillId="29" borderId="103" xfId="0" applyFont="1" applyFill="1" applyBorder="1" applyAlignment="1">
      <alignment/>
    </xf>
    <xf numFmtId="0" fontId="15" fillId="29" borderId="104" xfId="0" applyFont="1" applyFill="1" applyBorder="1" applyAlignment="1">
      <alignment/>
    </xf>
    <xf numFmtId="0" fontId="15" fillId="29" borderId="105" xfId="0" applyFont="1" applyFill="1" applyBorder="1" applyAlignment="1">
      <alignment/>
    </xf>
    <xf numFmtId="0" fontId="0" fillId="27" borderId="91" xfId="0" applyFill="1" applyBorder="1" applyAlignment="1">
      <alignment/>
    </xf>
    <xf numFmtId="0" fontId="0" fillId="25" borderId="91" xfId="0" applyFill="1" applyBorder="1" applyAlignment="1">
      <alignment/>
    </xf>
    <xf numFmtId="0" fontId="0" fillId="24" borderId="91" xfId="0" applyFill="1" applyBorder="1" applyAlignment="1">
      <alignment/>
    </xf>
    <xf numFmtId="0" fontId="0" fillId="24" borderId="92" xfId="0" applyFill="1" applyBorder="1" applyAlignment="1">
      <alignment/>
    </xf>
    <xf numFmtId="16" fontId="1" fillId="0" borderId="106" xfId="0" applyNumberFormat="1" applyFont="1" applyFill="1" applyBorder="1" applyAlignment="1">
      <alignment horizontal="center"/>
    </xf>
    <xf numFmtId="16" fontId="1" fillId="0" borderId="107" xfId="0" applyNumberFormat="1" applyFont="1" applyFill="1" applyBorder="1" applyAlignment="1">
      <alignment horizontal="center"/>
    </xf>
    <xf numFmtId="0" fontId="0" fillId="26" borderId="91" xfId="0" applyFill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48" xfId="0" applyFill="1" applyBorder="1" applyAlignment="1">
      <alignment/>
    </xf>
    <xf numFmtId="0" fontId="3" fillId="5" borderId="4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 vertical="center" wrapText="1"/>
    </xf>
    <xf numFmtId="0" fontId="0" fillId="5" borderId="35" xfId="0" applyFill="1" applyBorder="1" applyAlignment="1">
      <alignment horizontal="right"/>
    </xf>
    <xf numFmtId="0" fontId="0" fillId="5" borderId="30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39" xfId="0" applyFill="1" applyBorder="1" applyAlignment="1">
      <alignment/>
    </xf>
    <xf numFmtId="0" fontId="2" fillId="5" borderId="35" xfId="0" applyFont="1" applyFill="1" applyBorder="1" applyAlignment="1">
      <alignment horizontal="right"/>
    </xf>
    <xf numFmtId="0" fontId="0" fillId="5" borderId="91" xfId="0" applyFill="1" applyBorder="1" applyAlignment="1">
      <alignment/>
    </xf>
    <xf numFmtId="0" fontId="0" fillId="5" borderId="36" xfId="0" applyFill="1" applyBorder="1" applyAlignment="1">
      <alignment/>
    </xf>
    <xf numFmtId="0" fontId="2" fillId="5" borderId="49" xfId="0" applyFont="1" applyFill="1" applyBorder="1" applyAlignment="1">
      <alignment horizontal="right"/>
    </xf>
    <xf numFmtId="0" fontId="0" fillId="5" borderId="31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13" fillId="28" borderId="108" xfId="0" applyFont="1" applyFill="1" applyBorder="1" applyAlignment="1">
      <alignment/>
    </xf>
    <xf numFmtId="0" fontId="13" fillId="28" borderId="109" xfId="0" applyFont="1" applyFill="1" applyBorder="1" applyAlignment="1">
      <alignment/>
    </xf>
    <xf numFmtId="0" fontId="2" fillId="0" borderId="110" xfId="0" applyFont="1" applyFill="1" applyBorder="1" applyAlignment="1">
      <alignment horizontal="center"/>
    </xf>
    <xf numFmtId="0" fontId="1" fillId="0" borderId="1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5" fontId="0" fillId="0" borderId="0" xfId="0" applyNumberFormat="1" applyAlignment="1">
      <alignment/>
    </xf>
    <xf numFmtId="10" fontId="17" fillId="0" borderId="0" xfId="0" applyNumberFormat="1" applyFont="1" applyFill="1" applyBorder="1" applyAlignment="1">
      <alignment horizontal="right" vertical="center" wrapText="1"/>
    </xf>
    <xf numFmtId="0" fontId="1" fillId="0" borderId="112" xfId="0" applyFont="1" applyFill="1" applyBorder="1" applyAlignment="1">
      <alignment horizontal="center" vertical="center" textRotation="180" wrapText="1"/>
    </xf>
    <xf numFmtId="0" fontId="1" fillId="0" borderId="24" xfId="0" applyFont="1" applyFill="1" applyBorder="1" applyAlignment="1">
      <alignment horizontal="center" vertical="center" textRotation="180" wrapText="1"/>
    </xf>
    <xf numFmtId="0" fontId="1" fillId="0" borderId="20" xfId="0" applyFont="1" applyFill="1" applyBorder="1" applyAlignment="1">
      <alignment horizontal="center" vertical="center" textRotation="180" wrapText="1"/>
    </xf>
    <xf numFmtId="0" fontId="2" fillId="0" borderId="16" xfId="0" applyFont="1" applyFill="1" applyBorder="1" applyAlignment="1">
      <alignment horizontal="center" textRotation="180"/>
    </xf>
    <xf numFmtId="0" fontId="1" fillId="0" borderId="113" xfId="0" applyFont="1" applyFill="1" applyBorder="1" applyAlignment="1">
      <alignment textRotation="180"/>
    </xf>
    <xf numFmtId="0" fontId="2" fillId="0" borderId="114" xfId="0" applyFont="1" applyFill="1" applyBorder="1" applyAlignment="1">
      <alignment horizontal="center" textRotation="180"/>
    </xf>
    <xf numFmtId="0" fontId="0" fillId="0" borderId="115" xfId="0" applyFill="1" applyBorder="1" applyAlignment="1">
      <alignment textRotation="180"/>
    </xf>
    <xf numFmtId="0" fontId="1" fillId="0" borderId="116" xfId="0" applyFont="1" applyFill="1" applyBorder="1" applyAlignment="1">
      <alignment textRotation="180"/>
    </xf>
    <xf numFmtId="0" fontId="1" fillId="0" borderId="17" xfId="0" applyFont="1" applyFill="1" applyBorder="1" applyAlignment="1">
      <alignment textRotation="180"/>
    </xf>
    <xf numFmtId="0" fontId="2" fillId="0" borderId="110" xfId="0" applyFont="1" applyFill="1" applyBorder="1" applyAlignment="1">
      <alignment horizontal="center" textRotation="180"/>
    </xf>
    <xf numFmtId="0" fontId="0" fillId="0" borderId="13" xfId="0" applyFill="1" applyBorder="1" applyAlignment="1">
      <alignment textRotation="180"/>
    </xf>
    <xf numFmtId="15" fontId="2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19" fillId="30" borderId="0" xfId="0" applyFont="1" applyFill="1" applyBorder="1" applyAlignment="1">
      <alignment horizontal="left" vertical="center"/>
    </xf>
    <xf numFmtId="21" fontId="19" fillId="3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21" fontId="2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 vertical="top"/>
    </xf>
    <xf numFmtId="21" fontId="23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4" fillId="0" borderId="117" xfId="0" applyFont="1" applyFill="1" applyBorder="1" applyAlignment="1">
      <alignment horizontal="left" vertical="center" wrapText="1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/>
    </xf>
    <xf numFmtId="0" fontId="0" fillId="20" borderId="18" xfId="0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48" xfId="0" applyFill="1" applyBorder="1" applyAlignment="1">
      <alignment/>
    </xf>
    <xf numFmtId="0" fontId="3" fillId="20" borderId="48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right" vertical="center" wrapText="1"/>
    </xf>
    <xf numFmtId="0" fontId="2" fillId="20" borderId="35" xfId="0" applyFont="1" applyFill="1" applyBorder="1" applyAlignment="1">
      <alignment horizontal="right"/>
    </xf>
    <xf numFmtId="0" fontId="0" fillId="20" borderId="36" xfId="0" applyFill="1" applyBorder="1" applyAlignment="1">
      <alignment/>
    </xf>
    <xf numFmtId="0" fontId="0" fillId="20" borderId="38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3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91" xfId="0" applyFill="1" applyBorder="1" applyAlignment="1">
      <alignment/>
    </xf>
    <xf numFmtId="0" fontId="0" fillId="20" borderId="37" xfId="0" applyFill="1" applyBorder="1" applyAlignment="1">
      <alignment/>
    </xf>
    <xf numFmtId="0" fontId="0" fillId="20" borderId="40" xfId="0" applyFill="1" applyBorder="1" applyAlignment="1">
      <alignment/>
    </xf>
    <xf numFmtId="0" fontId="0" fillId="20" borderId="42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43" xfId="0" applyFill="1" applyBorder="1" applyAlignment="1">
      <alignment/>
    </xf>
    <xf numFmtId="0" fontId="0" fillId="20" borderId="44" xfId="0" applyFill="1" applyBorder="1" applyAlignment="1">
      <alignment/>
    </xf>
    <xf numFmtId="0" fontId="0" fillId="20" borderId="45" xfId="0" applyFill="1" applyBorder="1" applyAlignment="1">
      <alignment/>
    </xf>
    <xf numFmtId="0" fontId="0" fillId="20" borderId="46" xfId="0" applyFill="1" applyBorder="1" applyAlignment="1">
      <alignment/>
    </xf>
    <xf numFmtId="0" fontId="0" fillId="20" borderId="47" xfId="0" applyFill="1" applyBorder="1" applyAlignment="1">
      <alignment/>
    </xf>
    <xf numFmtId="0" fontId="13" fillId="28" borderId="0" xfId="0" applyFont="1" applyFill="1" applyAlignment="1">
      <alignment horizontal="left"/>
    </xf>
    <xf numFmtId="0" fontId="13" fillId="28" borderId="0" xfId="0" applyFont="1" applyFill="1" applyAlignment="1">
      <alignment/>
    </xf>
    <xf numFmtId="21" fontId="13" fillId="28" borderId="0" xfId="0" applyNumberFormat="1" applyFont="1" applyFill="1" applyAlignment="1">
      <alignment horizontal="right"/>
    </xf>
    <xf numFmtId="0" fontId="14" fillId="28" borderId="0" xfId="0" applyFont="1" applyFill="1" applyAlignment="1">
      <alignment/>
    </xf>
    <xf numFmtId="0" fontId="0" fillId="27" borderId="0" xfId="0" applyFill="1" applyAlignment="1">
      <alignment horizontal="left"/>
    </xf>
    <xf numFmtId="0" fontId="0" fillId="27" borderId="0" xfId="0" applyFill="1" applyAlignment="1">
      <alignment/>
    </xf>
    <xf numFmtId="21" fontId="0" fillId="27" borderId="0" xfId="0" applyNumberFormat="1" applyFill="1" applyAlignment="1">
      <alignment horizontal="right"/>
    </xf>
    <xf numFmtId="0" fontId="2" fillId="27" borderId="0" xfId="0" applyFont="1" applyFill="1" applyAlignment="1">
      <alignment/>
    </xf>
    <xf numFmtId="0" fontId="15" fillId="29" borderId="0" xfId="0" applyFont="1" applyFill="1" applyAlignment="1">
      <alignment horizontal="left"/>
    </xf>
    <xf numFmtId="0" fontId="15" fillId="29" borderId="0" xfId="0" applyFont="1" applyFill="1" applyAlignment="1">
      <alignment/>
    </xf>
    <xf numFmtId="21" fontId="15" fillId="29" borderId="0" xfId="0" applyNumberFormat="1" applyFont="1" applyFill="1" applyAlignment="1">
      <alignment horizontal="right"/>
    </xf>
    <xf numFmtId="0" fontId="16" fillId="29" borderId="0" xfId="0" applyFont="1" applyFill="1" applyAlignment="1">
      <alignment/>
    </xf>
    <xf numFmtId="0" fontId="0" fillId="5" borderId="0" xfId="0" applyFill="1" applyAlignment="1">
      <alignment horizontal="left"/>
    </xf>
    <xf numFmtId="0" fontId="0" fillId="5" borderId="0" xfId="0" applyFill="1" applyAlignment="1">
      <alignment/>
    </xf>
    <xf numFmtId="21" fontId="0" fillId="5" borderId="0" xfId="0" applyNumberFormat="1" applyFill="1" applyAlignment="1">
      <alignment horizontal="right"/>
    </xf>
    <xf numFmtId="0" fontId="2" fillId="5" borderId="0" xfId="0" applyFont="1" applyFill="1" applyAlignment="1">
      <alignment/>
    </xf>
    <xf numFmtId="21" fontId="0" fillId="25" borderId="0" xfId="0" applyNumberFormat="1" applyFill="1" applyAlignment="1">
      <alignment horizontal="right"/>
    </xf>
    <xf numFmtId="0" fontId="2" fillId="25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21" fontId="0" fillId="24" borderId="0" xfId="0" applyNumberFormat="1" applyFill="1" applyAlignment="1">
      <alignment horizontal="right"/>
    </xf>
    <xf numFmtId="0" fontId="2" fillId="24" borderId="0" xfId="0" applyFont="1" applyFill="1" applyAlignment="1">
      <alignment/>
    </xf>
    <xf numFmtId="0" fontId="0" fillId="20" borderId="0" xfId="0" applyFill="1" applyAlignment="1">
      <alignment horizontal="left"/>
    </xf>
    <xf numFmtId="0" fontId="0" fillId="20" borderId="0" xfId="0" applyFill="1" applyAlignment="1">
      <alignment/>
    </xf>
    <xf numFmtId="21" fontId="21" fillId="20" borderId="0" xfId="0" applyNumberFormat="1" applyFont="1" applyFill="1" applyBorder="1" applyAlignment="1">
      <alignment vertical="top"/>
    </xf>
    <xf numFmtId="0" fontId="2" fillId="20" borderId="0" xfId="0" applyFont="1" applyFill="1" applyAlignment="1">
      <alignment/>
    </xf>
    <xf numFmtId="21" fontId="0" fillId="0" borderId="0" xfId="0" applyNumberFormat="1" applyFill="1" applyAlignment="1">
      <alignment horizontal="right"/>
    </xf>
    <xf numFmtId="45" fontId="0" fillId="0" borderId="0" xfId="0" applyNumberFormat="1" applyFill="1" applyAlignment="1">
      <alignment/>
    </xf>
    <xf numFmtId="45" fontId="12" fillId="0" borderId="0" xfId="0" applyNumberFormat="1" applyFont="1" applyFill="1" applyAlignment="1">
      <alignment horizontal="right"/>
    </xf>
    <xf numFmtId="45" fontId="13" fillId="28" borderId="0" xfId="0" applyNumberFormat="1" applyFont="1" applyFill="1" applyAlignment="1">
      <alignment horizontal="right"/>
    </xf>
    <xf numFmtId="45" fontId="15" fillId="29" borderId="0" xfId="0" applyNumberFormat="1" applyFont="1" applyFill="1" applyAlignment="1">
      <alignment horizontal="right"/>
    </xf>
    <xf numFmtId="45" fontId="0" fillId="27" borderId="0" xfId="0" applyNumberFormat="1" applyFill="1" applyAlignment="1">
      <alignment horizontal="right"/>
    </xf>
    <xf numFmtId="45" fontId="0" fillId="5" borderId="0" xfId="0" applyNumberFormat="1" applyFill="1" applyAlignment="1">
      <alignment horizontal="right"/>
    </xf>
    <xf numFmtId="45" fontId="0" fillId="25" borderId="0" xfId="0" applyNumberFormat="1" applyFill="1" applyAlignment="1">
      <alignment horizontal="right"/>
    </xf>
    <xf numFmtId="45" fontId="0" fillId="24" borderId="0" xfId="0" applyNumberFormat="1" applyFill="1" applyAlignment="1">
      <alignment horizontal="right"/>
    </xf>
    <xf numFmtId="45" fontId="21" fillId="20" borderId="0" xfId="0" applyNumberFormat="1" applyFont="1" applyFill="1" applyBorder="1" applyAlignment="1">
      <alignment vertical="top"/>
    </xf>
    <xf numFmtId="0" fontId="15" fillId="29" borderId="98" xfId="0" applyFont="1" applyFill="1" applyBorder="1" applyAlignment="1">
      <alignment horizontal="right"/>
    </xf>
    <xf numFmtId="0" fontId="16" fillId="29" borderId="118" xfId="0" applyFont="1" applyFill="1" applyBorder="1" applyAlignment="1">
      <alignment horizontal="right"/>
    </xf>
    <xf numFmtId="0" fontId="0" fillId="24" borderId="35" xfId="0" applyFill="1" applyBorder="1" applyAlignment="1">
      <alignment horizontal="right"/>
    </xf>
    <xf numFmtId="0" fontId="2" fillId="20" borderId="49" xfId="0" applyFont="1" applyFill="1" applyBorder="1" applyAlignment="1">
      <alignment horizontal="right"/>
    </xf>
    <xf numFmtId="0" fontId="0" fillId="20" borderId="35" xfId="0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 textRotation="180" wrapText="1"/>
    </xf>
    <xf numFmtId="0" fontId="2" fillId="5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45" fontId="2" fillId="0" borderId="0" xfId="0" applyNumberFormat="1" applyFont="1" applyFill="1" applyAlignment="1">
      <alignment horizontal="right"/>
    </xf>
    <xf numFmtId="21" fontId="0" fillId="0" borderId="0" xfId="0" applyNumberFormat="1" applyAlignment="1">
      <alignment/>
    </xf>
    <xf numFmtId="0" fontId="26" fillId="0" borderId="0" xfId="0" applyFont="1" applyFill="1" applyBorder="1" applyAlignment="1">
      <alignment/>
    </xf>
    <xf numFmtId="45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5" fontId="5" fillId="0" borderId="0" xfId="0" applyNumberFormat="1" applyFont="1" applyFill="1" applyAlignment="1">
      <alignment horizontal="right"/>
    </xf>
    <xf numFmtId="21" fontId="0" fillId="0" borderId="0" xfId="0" applyNumberFormat="1" applyFill="1" applyBorder="1" applyAlignment="1">
      <alignment/>
    </xf>
    <xf numFmtId="21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/>
    </xf>
    <xf numFmtId="10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21" fontId="1" fillId="27" borderId="28" xfId="0" applyNumberFormat="1" applyFont="1" applyFill="1" applyBorder="1" applyAlignment="1">
      <alignment horizontal="right" vertical="center" wrapText="1"/>
    </xf>
    <xf numFmtId="21" fontId="1" fillId="27" borderId="29" xfId="0" applyNumberFormat="1" applyFont="1" applyFill="1" applyBorder="1" applyAlignment="1">
      <alignment horizontal="right" vertical="center"/>
    </xf>
    <xf numFmtId="15" fontId="13" fillId="28" borderId="0" xfId="0" applyNumberFormat="1" applyFont="1" applyFill="1" applyAlignment="1">
      <alignment horizontal="right"/>
    </xf>
    <xf numFmtId="15" fontId="15" fillId="29" borderId="0" xfId="0" applyNumberFormat="1" applyFont="1" applyFill="1" applyAlignment="1">
      <alignment horizontal="right"/>
    </xf>
    <xf numFmtId="15" fontId="0" fillId="27" borderId="0" xfId="0" applyNumberFormat="1" applyFill="1" applyAlignment="1">
      <alignment horizontal="right"/>
    </xf>
    <xf numFmtId="15" fontId="0" fillId="5" borderId="0" xfId="0" applyNumberFormat="1" applyFill="1" applyAlignment="1">
      <alignment horizontal="right"/>
    </xf>
    <xf numFmtId="15" fontId="0" fillId="25" borderId="0" xfId="0" applyNumberFormat="1" applyFill="1" applyAlignment="1">
      <alignment horizontal="right"/>
    </xf>
    <xf numFmtId="15" fontId="0" fillId="24" borderId="0" xfId="0" applyNumberFormat="1" applyFill="1" applyAlignment="1">
      <alignment horizontal="right"/>
    </xf>
    <xf numFmtId="15" fontId="21" fillId="20" borderId="0" xfId="0" applyNumberFormat="1" applyFont="1" applyFill="1" applyBorder="1" applyAlignment="1">
      <alignment vertical="top"/>
    </xf>
    <xf numFmtId="45" fontId="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15" fontId="13" fillId="0" borderId="0" xfId="0" applyNumberFormat="1" applyFont="1" applyFill="1" applyAlignment="1">
      <alignment horizontal="right"/>
    </xf>
    <xf numFmtId="15" fontId="15" fillId="0" borderId="0" xfId="0" applyNumberFormat="1" applyFont="1" applyFill="1" applyAlignment="1">
      <alignment horizontal="right"/>
    </xf>
    <xf numFmtId="15" fontId="0" fillId="0" borderId="0" xfId="0" applyNumberFormat="1" applyFill="1" applyAlignment="1">
      <alignment horizontal="right"/>
    </xf>
    <xf numFmtId="15" fontId="21" fillId="0" borderId="0" xfId="0" applyNumberFormat="1" applyFont="1" applyFill="1" applyBorder="1" applyAlignment="1">
      <alignment vertical="top"/>
    </xf>
    <xf numFmtId="45" fontId="12" fillId="0" borderId="0" xfId="0" applyNumberFormat="1" applyFont="1" applyFill="1" applyAlignment="1" quotePrefix="1">
      <alignment horizontal="right"/>
    </xf>
    <xf numFmtId="45" fontId="21" fillId="0" borderId="0" xfId="0" applyNumberFormat="1" applyFont="1" applyFill="1" applyBorder="1" applyAlignment="1">
      <alignment vertical="top"/>
    </xf>
    <xf numFmtId="0" fontId="16" fillId="29" borderId="0" xfId="0" applyFont="1" applyFill="1" applyAlignment="1">
      <alignment horizontal="right"/>
    </xf>
    <xf numFmtId="0" fontId="2" fillId="30" borderId="0" xfId="0" applyFont="1" applyFill="1" applyAlignment="1">
      <alignment horizontal="left"/>
    </xf>
    <xf numFmtId="21" fontId="2" fillId="30" borderId="0" xfId="0" applyNumberFormat="1" applyFont="1" applyFill="1" applyAlignment="1">
      <alignment/>
    </xf>
    <xf numFmtId="45" fontId="5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21" fontId="0" fillId="0" borderId="0" xfId="0" applyNumberFormat="1" applyAlignment="1">
      <alignment/>
    </xf>
    <xf numFmtId="21" fontId="26" fillId="0" borderId="0" xfId="0" applyNumberFormat="1" applyFont="1" applyAlignment="1">
      <alignment/>
    </xf>
    <xf numFmtId="0" fontId="27" fillId="0" borderId="0" xfId="0" applyFont="1" applyFill="1" applyBorder="1" applyAlignment="1">
      <alignment horizontal="left"/>
    </xf>
    <xf numFmtId="21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13" fillId="28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82" fontId="2" fillId="0" borderId="0" xfId="0" applyNumberFormat="1" applyFont="1" applyAlignment="1">
      <alignment horizontal="left"/>
    </xf>
    <xf numFmtId="21" fontId="0" fillId="0" borderId="0" xfId="0" applyNumberFormat="1" applyAlignment="1">
      <alignment horizontal="right"/>
    </xf>
    <xf numFmtId="21" fontId="2" fillId="0" borderId="0" xfId="0" applyNumberFormat="1" applyFont="1" applyFill="1" applyAlignment="1">
      <alignment/>
    </xf>
    <xf numFmtId="0" fontId="14" fillId="28" borderId="0" xfId="0" applyFont="1" applyFill="1" applyAlignment="1">
      <alignment horizontal="right"/>
    </xf>
    <xf numFmtId="0" fontId="0" fillId="20" borderId="119" xfId="0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21" fontId="21" fillId="0" borderId="0" xfId="0" applyNumberFormat="1" applyFont="1" applyAlignment="1">
      <alignment/>
    </xf>
    <xf numFmtId="21" fontId="14" fillId="28" borderId="0" xfId="0" applyNumberFormat="1" applyFont="1" applyFill="1" applyAlignment="1">
      <alignment horizontal="right"/>
    </xf>
    <xf numFmtId="21" fontId="16" fillId="29" borderId="0" xfId="0" applyNumberFormat="1" applyFont="1" applyFill="1" applyAlignment="1">
      <alignment horizontal="right"/>
    </xf>
    <xf numFmtId="21" fontId="29" fillId="27" borderId="0" xfId="0" applyNumberFormat="1" applyFont="1" applyFill="1" applyAlignment="1">
      <alignment horizontal="right"/>
    </xf>
    <xf numFmtId="21" fontId="29" fillId="5" borderId="0" xfId="0" applyNumberFormat="1" applyFont="1" applyFill="1" applyAlignment="1">
      <alignment horizontal="right"/>
    </xf>
    <xf numFmtId="21" fontId="29" fillId="25" borderId="0" xfId="0" applyNumberFormat="1" applyFont="1" applyFill="1" applyAlignment="1">
      <alignment horizontal="right"/>
    </xf>
    <xf numFmtId="21" fontId="29" fillId="24" borderId="0" xfId="0" applyNumberFormat="1" applyFont="1" applyFill="1" applyAlignment="1">
      <alignment horizontal="right"/>
    </xf>
    <xf numFmtId="0" fontId="13" fillId="28" borderId="120" xfId="0" applyFont="1" applyFill="1" applyBorder="1" applyAlignment="1">
      <alignment/>
    </xf>
    <xf numFmtId="0" fontId="0" fillId="27" borderId="119" xfId="0" applyFill="1" applyBorder="1" applyAlignment="1">
      <alignment/>
    </xf>
    <xf numFmtId="0" fontId="0" fillId="5" borderId="121" xfId="0" applyFill="1" applyBorder="1" applyAlignment="1">
      <alignment/>
    </xf>
    <xf numFmtId="0" fontId="0" fillId="20" borderId="122" xfId="0" applyFill="1" applyBorder="1" applyAlignment="1">
      <alignment/>
    </xf>
    <xf numFmtId="45" fontId="2" fillId="30" borderId="0" xfId="0" applyNumberFormat="1" applyFont="1" applyFill="1" applyAlignment="1">
      <alignment/>
    </xf>
    <xf numFmtId="0" fontId="30" fillId="0" borderId="0" xfId="0" applyFont="1" applyAlignment="1">
      <alignment/>
    </xf>
    <xf numFmtId="45" fontId="14" fillId="28" borderId="0" xfId="0" applyNumberFormat="1" applyFont="1" applyFill="1" applyAlignment="1">
      <alignment horizontal="right"/>
    </xf>
    <xf numFmtId="45" fontId="16" fillId="29" borderId="0" xfId="0" applyNumberFormat="1" applyFont="1" applyFill="1" applyAlignment="1">
      <alignment horizontal="right"/>
    </xf>
    <xf numFmtId="45" fontId="29" fillId="27" borderId="0" xfId="0" applyNumberFormat="1" applyFont="1" applyFill="1" applyAlignment="1">
      <alignment horizontal="right"/>
    </xf>
    <xf numFmtId="45" fontId="29" fillId="5" borderId="0" xfId="0" applyNumberFormat="1" applyFont="1" applyFill="1" applyAlignment="1">
      <alignment horizontal="right"/>
    </xf>
    <xf numFmtId="45" fontId="29" fillId="25" borderId="0" xfId="0" applyNumberFormat="1" applyFont="1" applyFill="1" applyAlignment="1">
      <alignment horizontal="right"/>
    </xf>
    <xf numFmtId="45" fontId="29" fillId="24" borderId="0" xfId="0" applyNumberFormat="1" applyFont="1" applyFill="1" applyAlignment="1">
      <alignment horizontal="right"/>
    </xf>
    <xf numFmtId="0" fontId="0" fillId="26" borderId="119" xfId="0" applyFill="1" applyBorder="1" applyAlignment="1">
      <alignment/>
    </xf>
    <xf numFmtId="0" fontId="0" fillId="25" borderId="121" xfId="0" applyFill="1" applyBorder="1" applyAlignment="1">
      <alignment/>
    </xf>
    <xf numFmtId="0" fontId="0" fillId="20" borderId="123" xfId="0" applyFill="1" applyBorder="1" applyAlignment="1">
      <alignment/>
    </xf>
    <xf numFmtId="0" fontId="0" fillId="27" borderId="122" xfId="0" applyFill="1" applyBorder="1" applyAlignment="1">
      <alignment/>
    </xf>
    <xf numFmtId="0" fontId="0" fillId="20" borderId="124" xfId="0" applyFill="1" applyBorder="1" applyAlignment="1">
      <alignment/>
    </xf>
    <xf numFmtId="0" fontId="26" fillId="0" borderId="0" xfId="0" applyFont="1" applyFill="1" applyAlignment="1">
      <alignment/>
    </xf>
    <xf numFmtId="10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" fillId="25" borderId="0" xfId="0" applyFont="1" applyFill="1" applyAlignment="1">
      <alignment horizontal="right"/>
    </xf>
    <xf numFmtId="16" fontId="5" fillId="0" borderId="0" xfId="0" applyNumberFormat="1" applyFont="1" applyBorder="1" applyAlignment="1">
      <alignment horizontal="right"/>
    </xf>
    <xf numFmtId="0" fontId="2" fillId="27" borderId="0" xfId="0" applyFont="1" applyFill="1" applyAlignment="1">
      <alignment horizontal="right"/>
    </xf>
    <xf numFmtId="16" fontId="5" fillId="0" borderId="0" xfId="0" applyNumberFormat="1" applyFont="1" applyBorder="1" applyAlignment="1">
      <alignment horizontal="left"/>
    </xf>
    <xf numFmtId="0" fontId="12" fillId="24" borderId="0" xfId="0" applyFont="1" applyFill="1" applyAlignment="1">
      <alignment horizontal="right"/>
    </xf>
    <xf numFmtId="0" fontId="14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6" fillId="21" borderId="0" xfId="0" applyFont="1" applyFill="1" applyBorder="1" applyAlignment="1">
      <alignment/>
    </xf>
    <xf numFmtId="0" fontId="0" fillId="21" borderId="0" xfId="0" applyFill="1" applyAlignment="1">
      <alignment/>
    </xf>
    <xf numFmtId="45" fontId="5" fillId="21" borderId="0" xfId="0" applyNumberFormat="1" applyFont="1" applyFill="1" applyAlignment="1">
      <alignment horizontal="right"/>
    </xf>
    <xf numFmtId="0" fontId="2" fillId="21" borderId="0" xfId="0" applyFont="1" applyFill="1" applyBorder="1" applyAlignment="1">
      <alignment/>
    </xf>
    <xf numFmtId="45" fontId="5" fillId="21" borderId="0" xfId="0" applyNumberFormat="1" applyFont="1" applyFill="1" applyBorder="1" applyAlignment="1">
      <alignment horizontal="right"/>
    </xf>
    <xf numFmtId="0" fontId="5" fillId="21" borderId="0" xfId="0" applyFont="1" applyFill="1" applyBorder="1" applyAlignment="1">
      <alignment horizontal="right"/>
    </xf>
    <xf numFmtId="21" fontId="2" fillId="21" borderId="0" xfId="0" applyNumberFormat="1" applyFont="1" applyFill="1" applyAlignment="1">
      <alignment/>
    </xf>
    <xf numFmtId="10" fontId="0" fillId="21" borderId="0" xfId="0" applyNumberFormat="1" applyFill="1" applyAlignment="1">
      <alignment/>
    </xf>
    <xf numFmtId="21" fontId="0" fillId="21" borderId="0" xfId="0" applyNumberFormat="1" applyFill="1" applyAlignment="1">
      <alignment/>
    </xf>
    <xf numFmtId="0" fontId="15" fillId="29" borderId="125" xfId="0" applyFont="1" applyFill="1" applyBorder="1" applyAlignment="1">
      <alignment/>
    </xf>
    <xf numFmtId="0" fontId="15" fillId="29" borderId="126" xfId="0" applyFont="1" applyFill="1" applyBorder="1" applyAlignment="1">
      <alignment/>
    </xf>
    <xf numFmtId="45" fontId="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0" fontId="0" fillId="5" borderId="92" xfId="0" applyFill="1" applyBorder="1" applyAlignment="1">
      <alignment/>
    </xf>
    <xf numFmtId="0" fontId="0" fillId="5" borderId="122" xfId="0" applyFill="1" applyBorder="1" applyAlignment="1">
      <alignment/>
    </xf>
    <xf numFmtId="0" fontId="26" fillId="0" borderId="0" xfId="0" applyFont="1" applyFill="1" applyAlignment="1">
      <alignment/>
    </xf>
    <xf numFmtId="45" fontId="26" fillId="0" borderId="0" xfId="0" applyNumberFormat="1" applyFont="1" applyFill="1" applyAlignment="1">
      <alignment horizontal="right"/>
    </xf>
    <xf numFmtId="15" fontId="26" fillId="0" borderId="0" xfId="0" applyNumberFormat="1" applyFont="1" applyFill="1" applyAlignment="1">
      <alignment horizontal="right"/>
    </xf>
    <xf numFmtId="0" fontId="0" fillId="5" borderId="37" xfId="0" applyFill="1" applyBorder="1" applyAlignment="1">
      <alignment/>
    </xf>
    <xf numFmtId="45" fontId="0" fillId="0" borderId="0" xfId="0" applyNumberFormat="1" applyFill="1" applyAlignment="1">
      <alignment horizontal="right"/>
    </xf>
    <xf numFmtId="0" fontId="13" fillId="28" borderId="127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128" xfId="0" applyFill="1" applyBorder="1" applyAlignment="1">
      <alignment/>
    </xf>
    <xf numFmtId="0" fontId="0" fillId="24" borderId="126" xfId="0" applyFill="1" applyBorder="1" applyAlignment="1">
      <alignment/>
    </xf>
    <xf numFmtId="0" fontId="3" fillId="26" borderId="27" xfId="0" applyFont="1" applyFill="1" applyBorder="1" applyAlignment="1">
      <alignment horizontal="left" vertical="center" wrapText="1"/>
    </xf>
    <xf numFmtId="0" fontId="3" fillId="26" borderId="5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textRotation="180"/>
    </xf>
    <xf numFmtId="0" fontId="1" fillId="0" borderId="26" xfId="0" applyFont="1" applyFill="1" applyBorder="1" applyAlignment="1">
      <alignment horizontal="center" textRotation="180"/>
    </xf>
    <xf numFmtId="0" fontId="1" fillId="0" borderId="129" xfId="0" applyFont="1" applyFill="1" applyBorder="1" applyAlignment="1">
      <alignment horizontal="center" textRotation="180"/>
    </xf>
    <xf numFmtId="0" fontId="1" fillId="0" borderId="130" xfId="0" applyFont="1" applyFill="1" applyBorder="1" applyAlignment="1">
      <alignment horizontal="center" textRotation="180"/>
    </xf>
    <xf numFmtId="0" fontId="11" fillId="27" borderId="131" xfId="0" applyFont="1" applyFill="1" applyBorder="1" applyAlignment="1">
      <alignment horizontal="center"/>
    </xf>
    <xf numFmtId="0" fontId="11" fillId="27" borderId="132" xfId="0" applyFont="1" applyFill="1" applyBorder="1" applyAlignment="1">
      <alignment horizontal="center"/>
    </xf>
    <xf numFmtId="0" fontId="11" fillId="27" borderId="133" xfId="0" applyFont="1" applyFill="1" applyBorder="1" applyAlignment="1">
      <alignment horizontal="center"/>
    </xf>
    <xf numFmtId="0" fontId="3" fillId="28" borderId="75" xfId="0" applyFont="1" applyFill="1" applyBorder="1" applyAlignment="1">
      <alignment horizontal="left" vertical="center" wrapText="1"/>
    </xf>
    <xf numFmtId="0" fontId="3" fillId="28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textRotation="180"/>
    </xf>
    <xf numFmtId="0" fontId="1" fillId="0" borderId="113" xfId="0" applyFont="1" applyFill="1" applyBorder="1" applyAlignment="1">
      <alignment horizontal="center" textRotation="180"/>
    </xf>
    <xf numFmtId="0" fontId="3" fillId="29" borderId="96" xfId="0" applyFont="1" applyFill="1" applyBorder="1" applyAlignment="1">
      <alignment horizontal="left" vertical="center" wrapText="1"/>
    </xf>
    <xf numFmtId="0" fontId="3" fillId="29" borderId="0" xfId="0" applyFont="1" applyFill="1" applyBorder="1" applyAlignment="1">
      <alignment horizontal="left" vertical="center" wrapText="1"/>
    </xf>
    <xf numFmtId="0" fontId="1" fillId="0" borderId="116" xfId="0" applyFont="1" applyFill="1" applyBorder="1" applyAlignment="1">
      <alignment horizontal="center" textRotation="180"/>
    </xf>
    <xf numFmtId="0" fontId="1" fillId="0" borderId="134" xfId="0" applyFont="1" applyFill="1" applyBorder="1" applyAlignment="1">
      <alignment horizontal="center" textRotation="180"/>
    </xf>
    <xf numFmtId="0" fontId="3" fillId="27" borderId="18" xfId="0" applyFont="1" applyFill="1" applyBorder="1" applyAlignment="1">
      <alignment horizontal="left" vertical="center" wrapText="1"/>
    </xf>
    <xf numFmtId="0" fontId="3" fillId="27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textRotation="180"/>
    </xf>
    <xf numFmtId="0" fontId="1" fillId="0" borderId="135" xfId="0" applyFont="1" applyFill="1" applyBorder="1" applyAlignment="1">
      <alignment horizontal="center" textRotation="180"/>
    </xf>
    <xf numFmtId="0" fontId="3" fillId="5" borderId="18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25" borderId="18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name val="Cambria"/>
        <color indexed="17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name val="Cambria"/>
        <color rgb="FF00B05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>
        <left/>
        <right/>
        <top/>
        <bottom/>
      </border>
    </dxf>
    <dxf>
      <font>
        <b/>
        <i val="0"/>
        <color rgb="FF00B05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13.00390625" style="0" bestFit="1" customWidth="1"/>
    <col min="4" max="4" width="19.140625" style="0" bestFit="1" customWidth="1"/>
    <col min="5" max="5" width="20.421875" style="0" customWidth="1"/>
    <col min="6" max="6" width="6.7109375" style="0" bestFit="1" customWidth="1"/>
    <col min="7" max="7" width="7.28125" style="0" bestFit="1" customWidth="1"/>
    <col min="9" max="9" width="6.8515625" style="0" customWidth="1"/>
    <col min="18" max="18" width="11.28125" style="0" bestFit="1" customWidth="1"/>
    <col min="19" max="19" width="11.8515625" style="0" bestFit="1" customWidth="1"/>
    <col min="20" max="20" width="11.00390625" style="0" bestFit="1" customWidth="1"/>
    <col min="21" max="21" width="11.00390625" style="0" customWidth="1"/>
    <col min="24" max="24" width="9.140625" style="15" customWidth="1"/>
    <col min="25" max="25" width="9.140625" style="201" customWidth="1"/>
  </cols>
  <sheetData>
    <row r="1" ht="15.75" thickBot="1"/>
    <row r="2" spans="2:24" ht="33" thickBot="1" thickTop="1">
      <c r="B2" s="50" t="s">
        <v>449</v>
      </c>
      <c r="U2" s="459" t="s">
        <v>269</v>
      </c>
      <c r="V2" s="460"/>
      <c r="W2" s="460"/>
      <c r="X2" s="461"/>
    </row>
    <row r="3" ht="15.75" thickTop="1"/>
    <row r="4" ht="15.75" thickBot="1"/>
    <row r="5" spans="1:24" ht="16.5" thickBot="1" thickTop="1">
      <c r="A5" s="15"/>
      <c r="B5" s="93"/>
      <c r="C5" s="94"/>
      <c r="D5" s="94"/>
      <c r="E5" s="124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3"/>
      <c r="X5" s="4"/>
    </row>
    <row r="6" spans="1:24" ht="15.75" thickBot="1">
      <c r="A6" s="15"/>
      <c r="B6" s="95"/>
      <c r="C6" s="96"/>
      <c r="D6" s="96"/>
      <c r="E6" s="125"/>
      <c r="F6" s="6">
        <f>+'Division 1'!I6</f>
        <v>42113</v>
      </c>
      <c r="G6" s="6">
        <f>+'Division 1'!J6</f>
        <v>42140</v>
      </c>
      <c r="H6" s="7" t="s">
        <v>458</v>
      </c>
      <c r="I6" s="6">
        <f>+'Division 1'!K6</f>
        <v>42162</v>
      </c>
      <c r="J6" s="6">
        <f>+'Division 1'!L6</f>
        <v>42186</v>
      </c>
      <c r="K6" s="6">
        <f>+'Division 1'!M6</f>
        <v>42192</v>
      </c>
      <c r="L6" s="6">
        <f>+'Division 1'!N6</f>
        <v>42195</v>
      </c>
      <c r="M6" s="6">
        <f>+'Division 1'!O6</f>
        <v>42214</v>
      </c>
      <c r="N6" s="6">
        <f>+'Division 1'!P6</f>
        <v>42220</v>
      </c>
      <c r="O6" s="6">
        <f>+'Division 1'!Q6</f>
        <v>42253</v>
      </c>
      <c r="P6" s="6">
        <v>42260</v>
      </c>
      <c r="Q6" s="7" t="s">
        <v>603</v>
      </c>
      <c r="R6" s="6">
        <v>42274</v>
      </c>
      <c r="S6" s="6">
        <f>+'Division 1'!T6</f>
        <v>42302</v>
      </c>
      <c r="T6" s="6">
        <f>+'Division 1'!U6</f>
        <v>42316</v>
      </c>
      <c r="U6" s="6" t="str">
        <f>+'Division 1'!V6</f>
        <v>29-Nov</v>
      </c>
      <c r="V6" s="6">
        <f>+'Division 1'!X6</f>
        <v>42365</v>
      </c>
      <c r="W6" s="237"/>
      <c r="X6" s="242"/>
    </row>
    <row r="7" spans="1:25" s="17" customFormat="1" ht="91.5" customHeight="1" thickBot="1">
      <c r="A7" s="15"/>
      <c r="B7" s="453"/>
      <c r="C7" s="454"/>
      <c r="D7" s="97"/>
      <c r="E7" s="98"/>
      <c r="F7" s="336" t="str">
        <f>+'Division 1'!I7</f>
        <v>Overgate Hospice</v>
      </c>
      <c r="G7" s="336" t="str">
        <f>+'Division 1'!J7</f>
        <v>Sowerby Scorcher</v>
      </c>
      <c r="H7" s="336" t="s">
        <v>13</v>
      </c>
      <c r="I7" s="336" t="str">
        <f>+'Division 1'!K7</f>
        <v>Bolton Brow Burner</v>
      </c>
      <c r="J7" s="336" t="str">
        <f>+'Division 1'!L7</f>
        <v>Helen Windsor</v>
      </c>
      <c r="K7" s="336" t="str">
        <f>+'Division 1'!M7</f>
        <v>Crossgates Vets</v>
      </c>
      <c r="L7" s="336" t="str">
        <f>+'Division 1'!N7</f>
        <v>Woodland Challenge</v>
      </c>
      <c r="M7" s="336" t="str">
        <f>+'Division 1'!O7</f>
        <v>Flat Cap</v>
      </c>
      <c r="N7" s="336" t="str">
        <f>+'Division 1'!P7</f>
        <v>Crow Hill</v>
      </c>
      <c r="O7" s="336" t="str">
        <f>+'Division 1'!Q7</f>
        <v>Kirkwood Hospice</v>
      </c>
      <c r="P7" s="336" t="s">
        <v>610</v>
      </c>
      <c r="Q7" s="336" t="s">
        <v>13</v>
      </c>
      <c r="R7" s="336" t="s">
        <v>612</v>
      </c>
      <c r="S7" s="336" t="str">
        <f>+'Division 1'!T7</f>
        <v>Bronte Way</v>
      </c>
      <c r="T7" s="336" t="str">
        <f>+'Division 1'!U7</f>
        <v>Spen Vets</v>
      </c>
      <c r="U7" s="336" t="str">
        <f>+'Division 1'!V7</f>
        <v>Barnsley</v>
      </c>
      <c r="V7" s="336" t="str">
        <f>+'Division 1'!X7</f>
        <v>Ward Green</v>
      </c>
      <c r="W7" s="455" t="s">
        <v>2</v>
      </c>
      <c r="X7" s="457" t="s">
        <v>3</v>
      </c>
      <c r="Y7" s="202"/>
    </row>
    <row r="8" spans="1:25" s="17" customFormat="1" ht="16.5" thickBot="1">
      <c r="A8" s="15"/>
      <c r="B8" s="11"/>
      <c r="C8" s="26"/>
      <c r="D8" s="24"/>
      <c r="E8" s="354" t="s">
        <v>672</v>
      </c>
      <c r="F8" s="198" t="str">
        <f>+'Division 1'!I8</f>
        <v>10K</v>
      </c>
      <c r="G8" s="198" t="str">
        <f>+'Division 1'!J8</f>
        <v>10K</v>
      </c>
      <c r="H8" s="198" t="s">
        <v>6</v>
      </c>
      <c r="I8" s="198" t="str">
        <f>+'Division 1'!K8</f>
        <v>10K</v>
      </c>
      <c r="J8" s="198" t="str">
        <f>+'Division 1'!L8</f>
        <v>10K</v>
      </c>
      <c r="K8" s="198" t="str">
        <f>+'Division 1'!M8</f>
        <v>5.2M</v>
      </c>
      <c r="L8" s="198" t="str">
        <f>+'Division 1'!N8</f>
        <v>6.5M</v>
      </c>
      <c r="M8" s="198" t="str">
        <f>+'Division 1'!O8</f>
        <v>5M</v>
      </c>
      <c r="N8" s="198" t="str">
        <f>+'Division 1'!P8</f>
        <v>5M</v>
      </c>
      <c r="O8" s="198" t="str">
        <f>+'Division 1'!Q8</f>
        <v>10K</v>
      </c>
      <c r="P8" s="198" t="s">
        <v>284</v>
      </c>
      <c r="Q8" s="198" t="s">
        <v>6</v>
      </c>
      <c r="R8" s="198" t="s">
        <v>284</v>
      </c>
      <c r="S8" s="198" t="str">
        <f>+'Division 1'!T8</f>
        <v>8M</v>
      </c>
      <c r="T8" s="198" t="str">
        <f>+'Division 1'!U8</f>
        <v>5M</v>
      </c>
      <c r="U8" s="198" t="str">
        <f>+'Division 1'!V8</f>
        <v>10K</v>
      </c>
      <c r="V8" s="6" t="str">
        <f>+'Division 1'!X8</f>
        <v>5.6M</v>
      </c>
      <c r="W8" s="456"/>
      <c r="X8" s="458"/>
      <c r="Y8" s="202"/>
    </row>
    <row r="9" spans="1:24" ht="16.5" thickBot="1">
      <c r="A9" s="15"/>
      <c r="B9" s="25"/>
      <c r="C9" s="27" t="s">
        <v>17</v>
      </c>
      <c r="D9" s="269" t="s">
        <v>18</v>
      </c>
      <c r="E9" s="355" t="s">
        <v>455</v>
      </c>
      <c r="F9" s="199" t="str">
        <f>+'Division 1'!I9</f>
        <v>Road</v>
      </c>
      <c r="G9" s="199" t="str">
        <f>+'Division 1'!J9</f>
        <v>Multi</v>
      </c>
      <c r="H9" s="199" t="s">
        <v>13</v>
      </c>
      <c r="I9" s="199" t="str">
        <f>+'Division 1'!K9</f>
        <v>Trail</v>
      </c>
      <c r="J9" s="199" t="str">
        <f>+'Division 1'!L9</f>
        <v>Road</v>
      </c>
      <c r="K9" s="199" t="str">
        <f>+'Division 1'!M9</f>
        <v>Trail</v>
      </c>
      <c r="L9" s="199" t="str">
        <f>+'Division 1'!N9</f>
        <v>Trail</v>
      </c>
      <c r="M9" s="199" t="str">
        <f>+'Division 1'!O9</f>
        <v>Multi</v>
      </c>
      <c r="N9" s="199" t="str">
        <f>+'Division 1'!P9</f>
        <v>Fell</v>
      </c>
      <c r="O9" s="199" t="str">
        <f>+'Division 1'!Q9</f>
        <v>Trail</v>
      </c>
      <c r="P9" s="199" t="s">
        <v>611</v>
      </c>
      <c r="Q9" s="199" t="s">
        <v>13</v>
      </c>
      <c r="R9" s="199" t="s">
        <v>9</v>
      </c>
      <c r="S9" s="199" t="str">
        <f>+'Division 1'!T9</f>
        <v>Fell</v>
      </c>
      <c r="T9" s="199" t="str">
        <f>+'Division 1'!U9</f>
        <v>Trail</v>
      </c>
      <c r="U9" s="199" t="str">
        <f>+'Division 1'!V9</f>
        <v>Road</v>
      </c>
      <c r="V9" s="21" t="str">
        <f>+'Division 1'!X9</f>
        <v>Road</v>
      </c>
      <c r="W9" s="456"/>
      <c r="X9" s="458"/>
    </row>
    <row r="10" spans="2:24" ht="15">
      <c r="B10" s="19">
        <v>1</v>
      </c>
      <c r="C10" s="28" t="s">
        <v>507</v>
      </c>
      <c r="D10" s="18" t="s">
        <v>178</v>
      </c>
      <c r="E10" s="126">
        <v>0.042337962962962966</v>
      </c>
      <c r="F10" s="200"/>
      <c r="G10" s="87"/>
      <c r="H10" s="87"/>
      <c r="I10" s="412">
        <v>58</v>
      </c>
      <c r="J10" s="87"/>
      <c r="K10" s="87"/>
      <c r="L10" s="87">
        <v>98</v>
      </c>
      <c r="M10" s="87">
        <v>100</v>
      </c>
      <c r="N10" s="87"/>
      <c r="O10" s="87">
        <v>95</v>
      </c>
      <c r="P10" s="87"/>
      <c r="Q10" s="87">
        <v>90</v>
      </c>
      <c r="R10" s="87"/>
      <c r="S10" s="87">
        <v>100</v>
      </c>
      <c r="T10" s="87">
        <v>98</v>
      </c>
      <c r="U10" s="87">
        <v>100</v>
      </c>
      <c r="V10" s="88"/>
      <c r="W10" s="113">
        <f aca="true" t="shared" si="0" ref="W10:W42">COUNT(F10:V10)</f>
        <v>8</v>
      </c>
      <c r="X10" s="128">
        <f aca="true" t="shared" si="1" ref="X10:X42">IF(W10&lt;7,SUM(F10:V10),SUM(LARGE(F10:V10,1),LARGE(F10:V10,2),LARGE(F10:V10,3),LARGE(F10:V10,4),LARGE(F10:V10,5),LARGE(F10:V10,6),LARGE(F10:V10,7)))</f>
        <v>681</v>
      </c>
    </row>
    <row r="11" spans="2:24" ht="15">
      <c r="B11" s="19">
        <v>2</v>
      </c>
      <c r="C11" s="28" t="s">
        <v>139</v>
      </c>
      <c r="D11" s="18" t="s">
        <v>140</v>
      </c>
      <c r="E11" s="126">
        <v>0.03582175925925926</v>
      </c>
      <c r="F11" s="200">
        <v>99</v>
      </c>
      <c r="G11" s="87">
        <v>100</v>
      </c>
      <c r="H11" s="87">
        <v>100</v>
      </c>
      <c r="I11" s="87"/>
      <c r="J11" s="87">
        <v>99</v>
      </c>
      <c r="K11" s="87">
        <v>98</v>
      </c>
      <c r="L11" s="412">
        <v>76</v>
      </c>
      <c r="M11" s="87">
        <v>82</v>
      </c>
      <c r="N11" s="412">
        <v>80</v>
      </c>
      <c r="O11" s="412">
        <v>73</v>
      </c>
      <c r="P11" s="412">
        <v>75</v>
      </c>
      <c r="Q11" s="87"/>
      <c r="R11" s="87"/>
      <c r="S11" s="87"/>
      <c r="T11" s="412">
        <v>77</v>
      </c>
      <c r="U11" s="87"/>
      <c r="V11" s="88">
        <v>96</v>
      </c>
      <c r="W11" s="113">
        <f t="shared" si="0"/>
        <v>12</v>
      </c>
      <c r="X11" s="128">
        <f t="shared" si="1"/>
        <v>674</v>
      </c>
    </row>
    <row r="12" spans="2:24" ht="15">
      <c r="B12" s="19">
        <v>3</v>
      </c>
      <c r="C12" s="28" t="s">
        <v>115</v>
      </c>
      <c r="D12" s="18" t="s">
        <v>116</v>
      </c>
      <c r="E12" s="126">
        <v>0.031064814814814812</v>
      </c>
      <c r="F12" s="412">
        <v>62</v>
      </c>
      <c r="G12" s="87">
        <v>89</v>
      </c>
      <c r="H12" s="412">
        <v>69</v>
      </c>
      <c r="I12" s="412">
        <v>68</v>
      </c>
      <c r="J12" s="87">
        <v>93</v>
      </c>
      <c r="K12" s="412">
        <v>66</v>
      </c>
      <c r="L12" s="412">
        <v>75</v>
      </c>
      <c r="M12" s="412">
        <v>34</v>
      </c>
      <c r="N12" s="87"/>
      <c r="O12" s="412">
        <v>56</v>
      </c>
      <c r="P12" s="412">
        <v>76</v>
      </c>
      <c r="Q12" s="412">
        <v>87</v>
      </c>
      <c r="R12" s="87">
        <v>91</v>
      </c>
      <c r="S12" s="87">
        <v>92</v>
      </c>
      <c r="T12" s="87">
        <v>99</v>
      </c>
      <c r="U12" s="87">
        <v>98</v>
      </c>
      <c r="V12" s="88">
        <v>95</v>
      </c>
      <c r="W12" s="113">
        <f>COUNT(F12:V12)</f>
        <v>16</v>
      </c>
      <c r="X12" s="128">
        <f>IF(W12&lt;7,SUM(F12:V12),SUM(LARGE(F12:V12,1),LARGE(F12:V12,2),LARGE(F12:V12,3),LARGE(F12:V12,4),LARGE(F12:V12,5),LARGE(F12:V12,6),LARGE(F12:V12,7)))</f>
        <v>657</v>
      </c>
    </row>
    <row r="13" spans="2:24" ht="15">
      <c r="B13" s="19">
        <v>4</v>
      </c>
      <c r="C13" s="28" t="s">
        <v>276</v>
      </c>
      <c r="D13" s="18" t="s">
        <v>38</v>
      </c>
      <c r="E13" s="126">
        <v>0.03119212962962963</v>
      </c>
      <c r="F13" s="412">
        <v>82</v>
      </c>
      <c r="G13" s="87">
        <v>93</v>
      </c>
      <c r="H13" s="412">
        <v>66</v>
      </c>
      <c r="I13" s="87"/>
      <c r="J13" s="87">
        <v>98</v>
      </c>
      <c r="K13" s="87">
        <v>97</v>
      </c>
      <c r="L13" s="412">
        <v>84</v>
      </c>
      <c r="M13" s="412">
        <v>44</v>
      </c>
      <c r="N13" s="412">
        <v>84</v>
      </c>
      <c r="O13" s="412">
        <v>67</v>
      </c>
      <c r="P13" s="87"/>
      <c r="Q13" s="87">
        <v>94</v>
      </c>
      <c r="R13" s="87"/>
      <c r="S13" s="87">
        <v>94</v>
      </c>
      <c r="T13" s="87">
        <v>85</v>
      </c>
      <c r="U13" s="412">
        <v>76</v>
      </c>
      <c r="V13" s="88">
        <v>92</v>
      </c>
      <c r="W13" s="113">
        <f>COUNT(F13:V13)</f>
        <v>14</v>
      </c>
      <c r="X13" s="128">
        <f>IF(W13&lt;7,SUM(F13:V13),SUM(LARGE(F13:V13,1),LARGE(F13:V13,2),LARGE(F13:V13,3),LARGE(F13:V13,4),LARGE(F13:V13,5),LARGE(F13:V13,6),LARGE(F13:V13,7)))</f>
        <v>653</v>
      </c>
    </row>
    <row r="14" spans="2:24" ht="15">
      <c r="B14" s="19" t="s">
        <v>674</v>
      </c>
      <c r="C14" s="28" t="s">
        <v>518</v>
      </c>
      <c r="D14" s="18" t="s">
        <v>178</v>
      </c>
      <c r="E14" s="126">
        <v>0.03231481481481482</v>
      </c>
      <c r="F14" s="200"/>
      <c r="G14" s="87"/>
      <c r="H14" s="87"/>
      <c r="I14" s="87"/>
      <c r="J14" s="412">
        <v>55</v>
      </c>
      <c r="K14" s="87"/>
      <c r="L14" s="87"/>
      <c r="M14" s="87">
        <v>96</v>
      </c>
      <c r="N14" s="87">
        <v>97</v>
      </c>
      <c r="O14" s="87">
        <v>89</v>
      </c>
      <c r="P14" s="412">
        <v>84</v>
      </c>
      <c r="Q14" s="87">
        <v>91</v>
      </c>
      <c r="R14" s="87"/>
      <c r="S14" s="87">
        <v>95</v>
      </c>
      <c r="T14" s="87">
        <v>93</v>
      </c>
      <c r="U14" s="87">
        <v>90</v>
      </c>
      <c r="V14" s="412">
        <v>85</v>
      </c>
      <c r="W14" s="113">
        <f t="shared" si="0"/>
        <v>10</v>
      </c>
      <c r="X14" s="128">
        <f t="shared" si="1"/>
        <v>651</v>
      </c>
    </row>
    <row r="15" spans="2:24" ht="15">
      <c r="B15" s="19" t="s">
        <v>674</v>
      </c>
      <c r="C15" s="28" t="s">
        <v>360</v>
      </c>
      <c r="D15" s="18" t="s">
        <v>359</v>
      </c>
      <c r="E15" s="126">
        <v>0.03484953703703703</v>
      </c>
      <c r="F15" s="412">
        <v>63</v>
      </c>
      <c r="G15" s="87"/>
      <c r="H15" s="87"/>
      <c r="I15" s="87">
        <v>96</v>
      </c>
      <c r="J15" s="412">
        <v>72</v>
      </c>
      <c r="K15" s="412">
        <v>81</v>
      </c>
      <c r="L15" s="87">
        <v>95</v>
      </c>
      <c r="M15" s="412">
        <v>45</v>
      </c>
      <c r="N15" s="87">
        <v>94</v>
      </c>
      <c r="O15" s="412">
        <v>59</v>
      </c>
      <c r="P15" s="87"/>
      <c r="Q15" s="412">
        <v>75</v>
      </c>
      <c r="R15" s="87">
        <v>97</v>
      </c>
      <c r="S15" s="87">
        <v>91</v>
      </c>
      <c r="T15" s="87">
        <v>91</v>
      </c>
      <c r="U15" s="412">
        <v>80</v>
      </c>
      <c r="V15" s="88">
        <v>87</v>
      </c>
      <c r="W15" s="113">
        <f>COUNT(F15:V15)</f>
        <v>14</v>
      </c>
      <c r="X15" s="128">
        <f>IF(W15&lt;7,SUM(F15:V15),SUM(LARGE(F15:V15,1),LARGE(F15:V15,2),LARGE(F15:V15,3),LARGE(F15:V15,4),LARGE(F15:V15,5),LARGE(F15:V15,6),LARGE(F15:V15,7)))</f>
        <v>651</v>
      </c>
    </row>
    <row r="16" spans="2:24" ht="15">
      <c r="B16" s="19">
        <v>7</v>
      </c>
      <c r="C16" s="28" t="s">
        <v>189</v>
      </c>
      <c r="D16" s="18" t="s">
        <v>135</v>
      </c>
      <c r="E16" s="126">
        <v>0.04126157407407407</v>
      </c>
      <c r="F16" s="200">
        <v>96</v>
      </c>
      <c r="G16" s="87">
        <v>97</v>
      </c>
      <c r="H16" s="87">
        <v>97</v>
      </c>
      <c r="I16" s="87">
        <v>91</v>
      </c>
      <c r="J16" s="87"/>
      <c r="K16" s="87">
        <v>100</v>
      </c>
      <c r="L16" s="412">
        <v>55</v>
      </c>
      <c r="M16" s="87"/>
      <c r="N16" s="87">
        <v>76</v>
      </c>
      <c r="O16" s="87">
        <v>91</v>
      </c>
      <c r="P16" s="87"/>
      <c r="Q16" s="87"/>
      <c r="R16" s="87"/>
      <c r="S16" s="87"/>
      <c r="T16" s="87"/>
      <c r="U16" s="87"/>
      <c r="V16" s="88"/>
      <c r="W16" s="113">
        <f t="shared" si="0"/>
        <v>8</v>
      </c>
      <c r="X16" s="128">
        <f t="shared" si="1"/>
        <v>648</v>
      </c>
    </row>
    <row r="17" spans="2:24" ht="15">
      <c r="B17" s="19">
        <v>8</v>
      </c>
      <c r="C17" s="28" t="s">
        <v>63</v>
      </c>
      <c r="D17" s="18" t="s">
        <v>64</v>
      </c>
      <c r="E17" s="126">
        <v>0.027893518518518515</v>
      </c>
      <c r="F17" s="200"/>
      <c r="G17" s="87"/>
      <c r="H17" s="87"/>
      <c r="I17" s="87">
        <v>93</v>
      </c>
      <c r="J17" s="87">
        <v>94</v>
      </c>
      <c r="K17" s="412">
        <v>62</v>
      </c>
      <c r="L17" s="87">
        <v>90</v>
      </c>
      <c r="M17" s="412">
        <v>49</v>
      </c>
      <c r="N17" s="87">
        <v>92</v>
      </c>
      <c r="O17" s="412">
        <v>69</v>
      </c>
      <c r="P17" s="87">
        <v>90</v>
      </c>
      <c r="Q17" s="412">
        <v>72</v>
      </c>
      <c r="R17" s="87"/>
      <c r="S17" s="87">
        <v>96</v>
      </c>
      <c r="T17" s="412">
        <v>79</v>
      </c>
      <c r="U17" s="87">
        <v>85</v>
      </c>
      <c r="V17" s="88"/>
      <c r="W17" s="113">
        <f t="shared" si="0"/>
        <v>12</v>
      </c>
      <c r="X17" s="128">
        <f t="shared" si="1"/>
        <v>640</v>
      </c>
    </row>
    <row r="18" spans="2:24" ht="15">
      <c r="B18" s="19">
        <v>9</v>
      </c>
      <c r="C18" s="28" t="s">
        <v>103</v>
      </c>
      <c r="D18" s="18" t="s">
        <v>104</v>
      </c>
      <c r="E18" s="126">
        <v>0.03214120370370371</v>
      </c>
      <c r="F18" s="200"/>
      <c r="G18" s="87"/>
      <c r="H18" s="87"/>
      <c r="I18" s="87"/>
      <c r="J18" s="87">
        <v>74</v>
      </c>
      <c r="K18" s="412">
        <v>63</v>
      </c>
      <c r="L18" s="412">
        <v>64</v>
      </c>
      <c r="M18" s="412">
        <v>65</v>
      </c>
      <c r="N18" s="87">
        <v>86</v>
      </c>
      <c r="O18" s="87">
        <v>97</v>
      </c>
      <c r="P18" s="87">
        <v>93</v>
      </c>
      <c r="Q18" s="87">
        <v>85</v>
      </c>
      <c r="R18" s="87">
        <v>100</v>
      </c>
      <c r="S18" s="412">
        <v>72</v>
      </c>
      <c r="T18" s="87"/>
      <c r="U18" s="412">
        <v>71</v>
      </c>
      <c r="V18" s="88">
        <v>98</v>
      </c>
      <c r="W18" s="113">
        <f>COUNT(F18:V18)</f>
        <v>12</v>
      </c>
      <c r="X18" s="128">
        <f>IF(W18&lt;7,SUM(F18:V18),SUM(LARGE(F18:V18,1),LARGE(F18:V18,2),LARGE(F18:V18,3),LARGE(F18:V18,4),LARGE(F18:V18,5),LARGE(F18:V18,6),LARGE(F18:V18,7)))</f>
        <v>633</v>
      </c>
    </row>
    <row r="19" spans="2:24" ht="15">
      <c r="B19" s="19">
        <v>10</v>
      </c>
      <c r="C19" s="28" t="s">
        <v>243</v>
      </c>
      <c r="D19" s="18" t="s">
        <v>275</v>
      </c>
      <c r="E19" s="126">
        <v>0.0284375</v>
      </c>
      <c r="F19" s="412">
        <v>70</v>
      </c>
      <c r="G19" s="87">
        <v>92</v>
      </c>
      <c r="H19" s="87">
        <v>81</v>
      </c>
      <c r="I19" s="87">
        <v>85</v>
      </c>
      <c r="J19" s="87"/>
      <c r="K19" s="87">
        <v>99</v>
      </c>
      <c r="L19" s="87">
        <v>80</v>
      </c>
      <c r="M19" s="412">
        <v>67</v>
      </c>
      <c r="N19" s="87">
        <v>93</v>
      </c>
      <c r="O19" s="412">
        <v>54</v>
      </c>
      <c r="P19" s="87"/>
      <c r="Q19" s="87"/>
      <c r="R19" s="87"/>
      <c r="S19" s="87">
        <v>98</v>
      </c>
      <c r="T19" s="87"/>
      <c r="U19" s="412">
        <v>65</v>
      </c>
      <c r="V19" s="88"/>
      <c r="W19" s="113">
        <f t="shared" si="0"/>
        <v>11</v>
      </c>
      <c r="X19" s="128">
        <f t="shared" si="1"/>
        <v>628</v>
      </c>
    </row>
    <row r="20" spans="2:24" ht="15">
      <c r="B20" s="19" t="s">
        <v>675</v>
      </c>
      <c r="C20" s="28" t="s">
        <v>259</v>
      </c>
      <c r="D20" s="18" t="s">
        <v>256</v>
      </c>
      <c r="E20" s="126">
        <v>0.02951388888888889</v>
      </c>
      <c r="F20" s="200">
        <v>94</v>
      </c>
      <c r="G20" s="87">
        <v>99</v>
      </c>
      <c r="H20" s="87"/>
      <c r="I20" s="87"/>
      <c r="J20" s="87">
        <v>79</v>
      </c>
      <c r="K20" s="87">
        <v>87</v>
      </c>
      <c r="L20" s="87">
        <v>86</v>
      </c>
      <c r="M20" s="412">
        <v>77</v>
      </c>
      <c r="N20" s="87">
        <v>96</v>
      </c>
      <c r="O20" s="87"/>
      <c r="P20" s="87"/>
      <c r="Q20" s="87"/>
      <c r="R20" s="87"/>
      <c r="S20" s="87">
        <v>79</v>
      </c>
      <c r="T20" s="412">
        <v>61</v>
      </c>
      <c r="U20" s="87"/>
      <c r="V20" s="88"/>
      <c r="W20" s="113">
        <f t="shared" si="0"/>
        <v>9</v>
      </c>
      <c r="X20" s="128">
        <f t="shared" si="1"/>
        <v>620</v>
      </c>
    </row>
    <row r="21" spans="2:24" ht="15">
      <c r="B21" s="19" t="s">
        <v>675</v>
      </c>
      <c r="C21" s="28" t="s">
        <v>218</v>
      </c>
      <c r="D21" s="18" t="s">
        <v>292</v>
      </c>
      <c r="E21" s="126">
        <v>0.040532407407407406</v>
      </c>
      <c r="F21" s="412">
        <v>76</v>
      </c>
      <c r="G21" s="412">
        <v>70</v>
      </c>
      <c r="H21" s="87">
        <v>98</v>
      </c>
      <c r="I21" s="87">
        <v>88</v>
      </c>
      <c r="J21" s="87"/>
      <c r="K21" s="87">
        <v>86</v>
      </c>
      <c r="L21" s="87"/>
      <c r="M21" s="412">
        <v>74</v>
      </c>
      <c r="N21" s="87"/>
      <c r="O21" s="87">
        <v>88</v>
      </c>
      <c r="P21" s="87"/>
      <c r="Q21" s="412">
        <v>77</v>
      </c>
      <c r="R21" s="87"/>
      <c r="S21" s="87">
        <v>82</v>
      </c>
      <c r="T21" s="87">
        <v>90</v>
      </c>
      <c r="U21" s="87">
        <v>88</v>
      </c>
      <c r="V21" s="88"/>
      <c r="W21" s="113">
        <f t="shared" si="0"/>
        <v>11</v>
      </c>
      <c r="X21" s="128">
        <f t="shared" si="1"/>
        <v>620</v>
      </c>
    </row>
    <row r="22" spans="2:24" ht="15">
      <c r="B22" s="19">
        <v>13</v>
      </c>
      <c r="C22" s="28" t="s">
        <v>63</v>
      </c>
      <c r="D22" s="18" t="s">
        <v>110</v>
      </c>
      <c r="E22" s="126">
        <v>0.03006944444444444</v>
      </c>
      <c r="F22" s="200">
        <v>97</v>
      </c>
      <c r="G22" s="87"/>
      <c r="H22" s="87"/>
      <c r="I22" s="87"/>
      <c r="J22" s="87">
        <v>84</v>
      </c>
      <c r="K22" s="412">
        <v>73</v>
      </c>
      <c r="L22" s="412">
        <v>69</v>
      </c>
      <c r="M22" s="412">
        <v>78</v>
      </c>
      <c r="N22" s="87">
        <v>87</v>
      </c>
      <c r="O22" s="87">
        <v>87</v>
      </c>
      <c r="P22" s="87"/>
      <c r="Q22" s="412">
        <v>81</v>
      </c>
      <c r="R22" s="87">
        <v>90</v>
      </c>
      <c r="S22" s="87">
        <v>90</v>
      </c>
      <c r="T22" s="87">
        <v>84</v>
      </c>
      <c r="U22" s="412">
        <v>68</v>
      </c>
      <c r="V22" s="88"/>
      <c r="W22" s="113">
        <f t="shared" si="0"/>
        <v>12</v>
      </c>
      <c r="X22" s="128">
        <f t="shared" si="1"/>
        <v>619</v>
      </c>
    </row>
    <row r="23" spans="2:24" ht="15">
      <c r="B23" s="19">
        <v>14</v>
      </c>
      <c r="C23" s="28" t="s">
        <v>219</v>
      </c>
      <c r="D23" s="18" t="s">
        <v>241</v>
      </c>
      <c r="E23" s="126">
        <v>0.031504629629629625</v>
      </c>
      <c r="F23" s="412">
        <v>66</v>
      </c>
      <c r="G23" s="87">
        <v>75</v>
      </c>
      <c r="H23" s="87">
        <v>80</v>
      </c>
      <c r="I23" s="87">
        <v>92</v>
      </c>
      <c r="J23" s="412">
        <v>60</v>
      </c>
      <c r="K23" s="87"/>
      <c r="L23" s="87"/>
      <c r="M23" s="87"/>
      <c r="N23" s="87"/>
      <c r="O23" s="412">
        <v>74</v>
      </c>
      <c r="P23" s="87"/>
      <c r="Q23" s="87"/>
      <c r="R23" s="87">
        <v>92</v>
      </c>
      <c r="S23" s="87">
        <v>84</v>
      </c>
      <c r="T23" s="87">
        <v>95</v>
      </c>
      <c r="U23" s="412">
        <v>62</v>
      </c>
      <c r="V23" s="88">
        <v>99</v>
      </c>
      <c r="W23" s="113">
        <f>COUNT(F23:V23)</f>
        <v>11</v>
      </c>
      <c r="X23" s="128">
        <f>IF(W23&lt;7,SUM(F23:V23),SUM(LARGE(F23:V23,1),LARGE(F23:V23,2),LARGE(F23:V23,3),LARGE(F23:V23,4),LARGE(F23:V23,5),LARGE(F23:V23,6),LARGE(F23:V23,7)))</f>
        <v>617</v>
      </c>
    </row>
    <row r="24" spans="2:24" ht="15">
      <c r="B24" s="19">
        <v>15</v>
      </c>
      <c r="C24" s="28" t="s">
        <v>52</v>
      </c>
      <c r="D24" s="18" t="s">
        <v>274</v>
      </c>
      <c r="E24" s="126">
        <v>0.026041666666666668</v>
      </c>
      <c r="F24" s="200"/>
      <c r="G24" s="87">
        <v>77</v>
      </c>
      <c r="H24" s="87"/>
      <c r="I24" s="87"/>
      <c r="J24" s="87">
        <v>82</v>
      </c>
      <c r="K24" s="87">
        <v>84</v>
      </c>
      <c r="L24" s="87">
        <v>88</v>
      </c>
      <c r="M24" s="412">
        <v>43</v>
      </c>
      <c r="N24" s="87"/>
      <c r="O24" s="412">
        <v>60</v>
      </c>
      <c r="P24" s="87">
        <v>95</v>
      </c>
      <c r="Q24" s="412">
        <v>73</v>
      </c>
      <c r="R24" s="87"/>
      <c r="S24" s="87">
        <v>99</v>
      </c>
      <c r="T24" s="412">
        <v>68</v>
      </c>
      <c r="U24" s="87"/>
      <c r="V24" s="88">
        <v>91</v>
      </c>
      <c r="W24" s="113">
        <f>COUNT(F24:V24)</f>
        <v>11</v>
      </c>
      <c r="X24" s="128">
        <f>IF(W24&lt;7,SUM(F24:V24),SUM(LARGE(F24:V24,1),LARGE(F24:V24,2),LARGE(F24:V24,3),LARGE(F24:V24,4),LARGE(F24:V24,5),LARGE(F24:V24,6),LARGE(F24:V24,7)))</f>
        <v>616</v>
      </c>
    </row>
    <row r="25" spans="2:24" ht="15">
      <c r="B25" s="19">
        <v>16</v>
      </c>
      <c r="C25" s="28" t="s">
        <v>321</v>
      </c>
      <c r="D25" s="18" t="s">
        <v>190</v>
      </c>
      <c r="E25" s="126">
        <v>0.03836805555555555</v>
      </c>
      <c r="F25" s="412">
        <v>68</v>
      </c>
      <c r="G25" s="87">
        <v>88</v>
      </c>
      <c r="H25" s="87">
        <v>84</v>
      </c>
      <c r="I25" s="87"/>
      <c r="J25" s="412">
        <v>53</v>
      </c>
      <c r="K25" s="87"/>
      <c r="L25" s="87"/>
      <c r="M25" s="412">
        <v>64</v>
      </c>
      <c r="N25" s="412">
        <v>79</v>
      </c>
      <c r="O25" s="87">
        <v>83</v>
      </c>
      <c r="P25" s="412">
        <v>77</v>
      </c>
      <c r="Q25" s="87">
        <v>80</v>
      </c>
      <c r="R25" s="87">
        <v>93</v>
      </c>
      <c r="S25" s="87">
        <v>89</v>
      </c>
      <c r="T25" s="412">
        <v>58</v>
      </c>
      <c r="U25" s="87"/>
      <c r="V25" s="88">
        <v>97</v>
      </c>
      <c r="W25" s="113">
        <f>COUNT(F25:V25)</f>
        <v>13</v>
      </c>
      <c r="X25" s="128">
        <f>IF(W25&lt;7,SUM(F25:V25),SUM(LARGE(F25:V25,1),LARGE(F25:V25,2),LARGE(F25:V25,3),LARGE(F25:V25,4),LARGE(F25:V25,5),LARGE(F25:V25,6),LARGE(F25:V25,7)))</f>
        <v>614</v>
      </c>
    </row>
    <row r="26" spans="2:24" ht="15">
      <c r="B26" s="19">
        <v>17</v>
      </c>
      <c r="C26" s="28" t="s">
        <v>219</v>
      </c>
      <c r="D26" s="18" t="s">
        <v>388</v>
      </c>
      <c r="E26" s="126">
        <v>0.028993055555555553</v>
      </c>
      <c r="F26" s="200"/>
      <c r="G26" s="87"/>
      <c r="H26" s="87"/>
      <c r="I26" s="412">
        <v>63</v>
      </c>
      <c r="J26" s="87">
        <v>91</v>
      </c>
      <c r="K26" s="87"/>
      <c r="L26" s="412">
        <v>45</v>
      </c>
      <c r="M26" s="87">
        <v>76</v>
      </c>
      <c r="N26" s="87">
        <v>88</v>
      </c>
      <c r="O26" s="87"/>
      <c r="P26" s="87">
        <v>78</v>
      </c>
      <c r="Q26" s="87">
        <v>97</v>
      </c>
      <c r="R26" s="87">
        <v>98</v>
      </c>
      <c r="S26" s="87">
        <v>83</v>
      </c>
      <c r="T26" s="412">
        <v>66</v>
      </c>
      <c r="U26" s="412">
        <v>75</v>
      </c>
      <c r="V26" s="88"/>
      <c r="W26" s="113">
        <f t="shared" si="0"/>
        <v>11</v>
      </c>
      <c r="X26" s="128">
        <f t="shared" si="1"/>
        <v>611</v>
      </c>
    </row>
    <row r="27" spans="2:24" ht="15">
      <c r="B27" s="19">
        <v>18</v>
      </c>
      <c r="C27" s="28" t="s">
        <v>189</v>
      </c>
      <c r="D27" s="18" t="s">
        <v>162</v>
      </c>
      <c r="E27" s="126">
        <v>0.032025462962962964</v>
      </c>
      <c r="F27" s="200"/>
      <c r="G27" s="87">
        <v>80</v>
      </c>
      <c r="H27" s="87">
        <v>96</v>
      </c>
      <c r="I27" s="412">
        <v>64</v>
      </c>
      <c r="J27" s="87"/>
      <c r="K27" s="87">
        <v>89</v>
      </c>
      <c r="L27" s="412">
        <v>68</v>
      </c>
      <c r="M27" s="87">
        <v>87</v>
      </c>
      <c r="N27" s="412">
        <v>77</v>
      </c>
      <c r="O27" s="87"/>
      <c r="P27" s="87">
        <v>80</v>
      </c>
      <c r="Q27" s="87"/>
      <c r="R27" s="87"/>
      <c r="S27" s="87">
        <v>85</v>
      </c>
      <c r="T27" s="412">
        <v>72</v>
      </c>
      <c r="U27" s="87">
        <v>93</v>
      </c>
      <c r="V27" s="88"/>
      <c r="W27" s="113">
        <f t="shared" si="0"/>
        <v>11</v>
      </c>
      <c r="X27" s="128">
        <f t="shared" si="1"/>
        <v>610</v>
      </c>
    </row>
    <row r="28" spans="2:24" ht="15">
      <c r="B28" s="19" t="s">
        <v>666</v>
      </c>
      <c r="C28" s="28" t="s">
        <v>265</v>
      </c>
      <c r="D28" s="18" t="s">
        <v>264</v>
      </c>
      <c r="E28" s="126">
        <v>0.04287037037037037</v>
      </c>
      <c r="F28" s="412">
        <v>77</v>
      </c>
      <c r="G28" s="87">
        <v>86</v>
      </c>
      <c r="H28" s="87">
        <v>86</v>
      </c>
      <c r="I28" s="412">
        <v>71</v>
      </c>
      <c r="J28" s="412">
        <v>48</v>
      </c>
      <c r="K28" s="412">
        <v>65</v>
      </c>
      <c r="L28" s="87"/>
      <c r="M28" s="412">
        <v>56</v>
      </c>
      <c r="N28" s="87"/>
      <c r="O28" s="87">
        <v>98</v>
      </c>
      <c r="P28" s="87"/>
      <c r="Q28" s="87">
        <v>78</v>
      </c>
      <c r="R28" s="87">
        <v>96</v>
      </c>
      <c r="S28" s="87">
        <v>77</v>
      </c>
      <c r="T28" s="87">
        <v>86</v>
      </c>
      <c r="U28" s="87"/>
      <c r="V28" s="88"/>
      <c r="W28" s="113">
        <f t="shared" si="0"/>
        <v>12</v>
      </c>
      <c r="X28" s="128">
        <f t="shared" si="1"/>
        <v>607</v>
      </c>
    </row>
    <row r="29" spans="2:24" ht="15">
      <c r="B29" s="19" t="s">
        <v>666</v>
      </c>
      <c r="C29" s="28" t="s">
        <v>309</v>
      </c>
      <c r="D29" s="18" t="s">
        <v>308</v>
      </c>
      <c r="E29" s="126">
        <v>0.023854166666666666</v>
      </c>
      <c r="F29" s="200"/>
      <c r="G29" s="87"/>
      <c r="H29" s="87">
        <v>74</v>
      </c>
      <c r="I29" s="87"/>
      <c r="J29" s="87">
        <v>95</v>
      </c>
      <c r="K29" s="87"/>
      <c r="L29" s="87">
        <v>97</v>
      </c>
      <c r="M29" s="412">
        <v>51</v>
      </c>
      <c r="N29" s="87">
        <v>90</v>
      </c>
      <c r="O29" s="412">
        <v>61</v>
      </c>
      <c r="P29" s="87">
        <v>99</v>
      </c>
      <c r="Q29" s="87">
        <v>71</v>
      </c>
      <c r="R29" s="87"/>
      <c r="S29" s="87"/>
      <c r="T29" s="87"/>
      <c r="U29" s="87">
        <v>81</v>
      </c>
      <c r="V29" s="88"/>
      <c r="W29" s="113">
        <f t="shared" si="0"/>
        <v>9</v>
      </c>
      <c r="X29" s="128">
        <f t="shared" si="1"/>
        <v>607</v>
      </c>
    </row>
    <row r="30" spans="2:24" ht="15">
      <c r="B30" s="19">
        <v>21</v>
      </c>
      <c r="C30" s="28" t="s">
        <v>245</v>
      </c>
      <c r="D30" s="18" t="s">
        <v>244</v>
      </c>
      <c r="E30" s="126">
        <v>0.04780092592592592</v>
      </c>
      <c r="F30" s="200">
        <v>79</v>
      </c>
      <c r="G30" s="87">
        <v>78</v>
      </c>
      <c r="H30" s="87">
        <v>78</v>
      </c>
      <c r="I30" s="87">
        <v>90</v>
      </c>
      <c r="J30" s="412">
        <v>65</v>
      </c>
      <c r="K30" s="412">
        <v>75</v>
      </c>
      <c r="L30" s="412">
        <v>72</v>
      </c>
      <c r="M30" s="87">
        <v>86</v>
      </c>
      <c r="N30" s="87"/>
      <c r="O30" s="87">
        <v>100</v>
      </c>
      <c r="P30" s="87"/>
      <c r="Q30" s="87"/>
      <c r="R30" s="87">
        <v>95</v>
      </c>
      <c r="S30" s="87"/>
      <c r="T30" s="87"/>
      <c r="U30" s="87"/>
      <c r="V30" s="88"/>
      <c r="W30" s="113">
        <f t="shared" si="0"/>
        <v>10</v>
      </c>
      <c r="X30" s="128">
        <f t="shared" si="1"/>
        <v>606</v>
      </c>
    </row>
    <row r="31" spans="2:24" ht="15">
      <c r="B31" s="19">
        <v>22</v>
      </c>
      <c r="C31" s="28" t="s">
        <v>218</v>
      </c>
      <c r="D31" s="18" t="s">
        <v>393</v>
      </c>
      <c r="E31" s="126">
        <v>0.033368055555555554</v>
      </c>
      <c r="F31" s="412">
        <v>54</v>
      </c>
      <c r="G31" s="87">
        <v>72</v>
      </c>
      <c r="H31" s="87">
        <v>89</v>
      </c>
      <c r="I31" s="87">
        <v>75</v>
      </c>
      <c r="J31" s="87"/>
      <c r="K31" s="87">
        <v>78</v>
      </c>
      <c r="L31" s="87">
        <v>94</v>
      </c>
      <c r="M31" s="412">
        <v>54</v>
      </c>
      <c r="N31" s="87"/>
      <c r="O31" s="412">
        <v>53</v>
      </c>
      <c r="P31" s="87"/>
      <c r="Q31" s="87">
        <v>100</v>
      </c>
      <c r="R31" s="87"/>
      <c r="S31" s="87"/>
      <c r="T31" s="87">
        <v>96</v>
      </c>
      <c r="U31" s="87"/>
      <c r="V31" s="88"/>
      <c r="W31" s="113">
        <f t="shared" si="0"/>
        <v>10</v>
      </c>
      <c r="X31" s="128">
        <f t="shared" si="1"/>
        <v>604</v>
      </c>
    </row>
    <row r="32" spans="2:24" ht="15">
      <c r="B32" s="19">
        <v>23</v>
      </c>
      <c r="C32" s="28" t="s">
        <v>220</v>
      </c>
      <c r="D32" s="18" t="s">
        <v>354</v>
      </c>
      <c r="E32" s="126">
        <v>0.03138888888888889</v>
      </c>
      <c r="F32" s="200">
        <v>89</v>
      </c>
      <c r="G32" s="87">
        <v>83</v>
      </c>
      <c r="H32" s="412">
        <v>70</v>
      </c>
      <c r="I32" s="87">
        <v>86</v>
      </c>
      <c r="J32" s="87">
        <v>75</v>
      </c>
      <c r="K32" s="412">
        <v>72</v>
      </c>
      <c r="L32" s="412">
        <v>61</v>
      </c>
      <c r="M32" s="87"/>
      <c r="N32" s="87"/>
      <c r="O32" s="87">
        <v>79</v>
      </c>
      <c r="P32" s="412">
        <v>74</v>
      </c>
      <c r="Q32" s="87">
        <v>92</v>
      </c>
      <c r="R32" s="87"/>
      <c r="S32" s="87"/>
      <c r="T32" s="412">
        <v>69</v>
      </c>
      <c r="U32" s="87">
        <v>94</v>
      </c>
      <c r="V32" s="88"/>
      <c r="W32" s="113">
        <f t="shared" si="0"/>
        <v>12</v>
      </c>
      <c r="X32" s="128">
        <f t="shared" si="1"/>
        <v>598</v>
      </c>
    </row>
    <row r="33" spans="2:24" ht="15">
      <c r="B33" s="19" t="s">
        <v>606</v>
      </c>
      <c r="C33" s="28" t="s">
        <v>334</v>
      </c>
      <c r="D33" s="18" t="s">
        <v>335</v>
      </c>
      <c r="E33" s="126">
        <v>0.04011574074074074</v>
      </c>
      <c r="F33" s="200">
        <v>100</v>
      </c>
      <c r="G33" s="87">
        <v>98</v>
      </c>
      <c r="H33" s="87"/>
      <c r="I33" s="87">
        <v>95</v>
      </c>
      <c r="J33" s="87">
        <v>83</v>
      </c>
      <c r="K33" s="87"/>
      <c r="L33" s="87">
        <v>87</v>
      </c>
      <c r="M33" s="87">
        <v>41</v>
      </c>
      <c r="N33" s="87"/>
      <c r="O33" s="87"/>
      <c r="P33" s="87"/>
      <c r="Q33" s="87"/>
      <c r="R33" s="87"/>
      <c r="S33" s="87"/>
      <c r="T33" s="87"/>
      <c r="U33" s="87">
        <v>93</v>
      </c>
      <c r="V33" s="88"/>
      <c r="W33" s="113">
        <f t="shared" si="0"/>
        <v>7</v>
      </c>
      <c r="X33" s="128">
        <f t="shared" si="1"/>
        <v>597</v>
      </c>
    </row>
    <row r="34" spans="2:24" ht="15">
      <c r="B34" s="19" t="s">
        <v>606</v>
      </c>
      <c r="C34" s="28" t="s">
        <v>321</v>
      </c>
      <c r="D34" s="18" t="s">
        <v>132</v>
      </c>
      <c r="E34" s="126">
        <v>0.02991898148148148</v>
      </c>
      <c r="F34" s="200">
        <v>86</v>
      </c>
      <c r="G34" s="87"/>
      <c r="H34" s="87"/>
      <c r="I34" s="87"/>
      <c r="J34" s="412">
        <v>52</v>
      </c>
      <c r="K34" s="87">
        <v>92</v>
      </c>
      <c r="L34" s="87">
        <v>89</v>
      </c>
      <c r="M34" s="412">
        <v>63</v>
      </c>
      <c r="N34" s="87">
        <v>98</v>
      </c>
      <c r="O34" s="87"/>
      <c r="P34" s="87"/>
      <c r="Q34" s="87"/>
      <c r="R34" s="87"/>
      <c r="S34" s="87">
        <v>69</v>
      </c>
      <c r="T34" s="87">
        <v>89</v>
      </c>
      <c r="U34" s="87">
        <v>74</v>
      </c>
      <c r="V34" s="88"/>
      <c r="W34" s="113">
        <f t="shared" si="0"/>
        <v>9</v>
      </c>
      <c r="X34" s="128">
        <f t="shared" si="1"/>
        <v>597</v>
      </c>
    </row>
    <row r="35" spans="2:24" ht="15">
      <c r="B35" s="19">
        <v>26</v>
      </c>
      <c r="C35" s="28" t="s">
        <v>427</v>
      </c>
      <c r="D35" s="18" t="s">
        <v>426</v>
      </c>
      <c r="E35" s="126">
        <v>0.024849537037037035</v>
      </c>
      <c r="F35" s="200"/>
      <c r="G35" s="87"/>
      <c r="H35" s="87">
        <v>90</v>
      </c>
      <c r="I35" s="87">
        <v>100</v>
      </c>
      <c r="J35" s="87">
        <v>90</v>
      </c>
      <c r="K35" s="87">
        <v>67</v>
      </c>
      <c r="L35" s="87">
        <v>82</v>
      </c>
      <c r="M35" s="412">
        <v>50</v>
      </c>
      <c r="N35" s="87"/>
      <c r="O35" s="87">
        <v>68</v>
      </c>
      <c r="P35" s="87">
        <v>98</v>
      </c>
      <c r="Q35" s="87"/>
      <c r="R35" s="87"/>
      <c r="S35" s="87"/>
      <c r="T35" s="412">
        <v>57</v>
      </c>
      <c r="U35" s="87"/>
      <c r="V35" s="88"/>
      <c r="W35" s="113">
        <f t="shared" si="0"/>
        <v>9</v>
      </c>
      <c r="X35" s="128">
        <f t="shared" si="1"/>
        <v>595</v>
      </c>
    </row>
    <row r="36" spans="2:24" ht="15">
      <c r="B36" s="19" t="s">
        <v>676</v>
      </c>
      <c r="C36" s="28" t="s">
        <v>383</v>
      </c>
      <c r="D36" s="18" t="s">
        <v>382</v>
      </c>
      <c r="E36" s="126">
        <v>0.042754629629629635</v>
      </c>
      <c r="F36" s="200">
        <v>83</v>
      </c>
      <c r="G36" s="87">
        <v>87</v>
      </c>
      <c r="H36" s="87">
        <v>82</v>
      </c>
      <c r="I36" s="412">
        <v>65</v>
      </c>
      <c r="J36" s="87">
        <v>88</v>
      </c>
      <c r="K36" s="87"/>
      <c r="L36" s="87"/>
      <c r="M36" s="87"/>
      <c r="N36" s="87"/>
      <c r="O36" s="87">
        <v>82</v>
      </c>
      <c r="P36" s="87"/>
      <c r="Q36" s="412">
        <v>74</v>
      </c>
      <c r="R36" s="87">
        <v>88</v>
      </c>
      <c r="S36" s="87"/>
      <c r="T36" s="87"/>
      <c r="U36" s="87">
        <v>84</v>
      </c>
      <c r="V36" s="88"/>
      <c r="W36" s="113">
        <f t="shared" si="0"/>
        <v>9</v>
      </c>
      <c r="X36" s="128">
        <f t="shared" si="1"/>
        <v>594</v>
      </c>
    </row>
    <row r="37" spans="2:24" ht="15">
      <c r="B37" s="19" t="s">
        <v>676</v>
      </c>
      <c r="C37" s="28" t="s">
        <v>187</v>
      </c>
      <c r="D37" s="18" t="s">
        <v>88</v>
      </c>
      <c r="E37" s="126">
        <v>0.031018518518518515</v>
      </c>
      <c r="F37" s="200"/>
      <c r="G37" s="87"/>
      <c r="H37" s="87">
        <v>93</v>
      </c>
      <c r="I37" s="87"/>
      <c r="J37" s="87"/>
      <c r="K37" s="87">
        <v>82</v>
      </c>
      <c r="L37" s="412">
        <v>59</v>
      </c>
      <c r="M37" s="87">
        <v>84</v>
      </c>
      <c r="N37" s="87">
        <v>89</v>
      </c>
      <c r="O37" s="412">
        <v>55</v>
      </c>
      <c r="P37" s="87">
        <v>85</v>
      </c>
      <c r="Q37" s="87"/>
      <c r="R37" s="87"/>
      <c r="S37" s="87">
        <v>88</v>
      </c>
      <c r="T37" s="412">
        <v>71</v>
      </c>
      <c r="U37" s="87">
        <v>73</v>
      </c>
      <c r="V37" s="88"/>
      <c r="W37" s="113">
        <f t="shared" si="0"/>
        <v>10</v>
      </c>
      <c r="X37" s="128">
        <f t="shared" si="1"/>
        <v>594</v>
      </c>
    </row>
    <row r="38" spans="2:24" ht="15">
      <c r="B38" s="19">
        <v>29</v>
      </c>
      <c r="C38" s="28" t="s">
        <v>258</v>
      </c>
      <c r="D38" s="18" t="s">
        <v>257</v>
      </c>
      <c r="E38" s="126">
        <v>0.028449074074074075</v>
      </c>
      <c r="F38" s="412">
        <v>61</v>
      </c>
      <c r="G38" s="87"/>
      <c r="H38" s="87"/>
      <c r="I38" s="87"/>
      <c r="J38" s="87">
        <v>71</v>
      </c>
      <c r="K38" s="87"/>
      <c r="L38" s="87"/>
      <c r="M38" s="87">
        <v>88</v>
      </c>
      <c r="N38" s="87">
        <v>75</v>
      </c>
      <c r="O38" s="87"/>
      <c r="P38" s="87"/>
      <c r="Q38" s="87">
        <v>96</v>
      </c>
      <c r="R38" s="87"/>
      <c r="S38" s="87">
        <v>93</v>
      </c>
      <c r="T38" s="87">
        <v>81</v>
      </c>
      <c r="U38" s="412">
        <v>66</v>
      </c>
      <c r="V38" s="88">
        <v>89</v>
      </c>
      <c r="W38" s="113">
        <f>COUNT(F38:V38)</f>
        <v>9</v>
      </c>
      <c r="X38" s="128">
        <f>IF(W38&lt;7,SUM(F38:V38),SUM(LARGE(F38:V38,1),LARGE(F38:V38,2),LARGE(F38:V38,3),LARGE(F38:V38,4),LARGE(F38:V38,5),LARGE(F38:V38,6),LARGE(F38:V38,7)))</f>
        <v>593</v>
      </c>
    </row>
    <row r="39" spans="2:24" ht="15">
      <c r="B39" s="19">
        <v>30</v>
      </c>
      <c r="C39" s="28" t="s">
        <v>347</v>
      </c>
      <c r="D39" s="18" t="s">
        <v>348</v>
      </c>
      <c r="E39" s="126">
        <v>0.025277777777777777</v>
      </c>
      <c r="F39" s="200">
        <v>81</v>
      </c>
      <c r="G39" s="87"/>
      <c r="H39" s="87">
        <v>75</v>
      </c>
      <c r="I39" s="87"/>
      <c r="J39" s="87">
        <v>76</v>
      </c>
      <c r="K39" s="87">
        <v>94</v>
      </c>
      <c r="L39" s="87"/>
      <c r="M39" s="87"/>
      <c r="N39" s="87"/>
      <c r="O39" s="87"/>
      <c r="P39" s="87">
        <v>97</v>
      </c>
      <c r="Q39" s="87">
        <v>70</v>
      </c>
      <c r="R39" s="87"/>
      <c r="S39" s="87">
        <v>97</v>
      </c>
      <c r="T39" s="87"/>
      <c r="U39" s="87"/>
      <c r="V39" s="88"/>
      <c r="W39" s="113">
        <f t="shared" si="0"/>
        <v>7</v>
      </c>
      <c r="X39" s="128">
        <f t="shared" si="1"/>
        <v>590</v>
      </c>
    </row>
    <row r="40" spans="2:24" ht="15">
      <c r="B40" s="19">
        <v>31</v>
      </c>
      <c r="C40" s="28" t="s">
        <v>392</v>
      </c>
      <c r="D40" s="18" t="s">
        <v>211</v>
      </c>
      <c r="E40" s="126">
        <v>0.04388888888888889</v>
      </c>
      <c r="F40" s="200"/>
      <c r="G40" s="87"/>
      <c r="H40" s="87">
        <v>87</v>
      </c>
      <c r="I40" s="412">
        <v>62</v>
      </c>
      <c r="J40" s="87">
        <v>66</v>
      </c>
      <c r="K40" s="87">
        <v>91</v>
      </c>
      <c r="L40" s="412">
        <v>56</v>
      </c>
      <c r="M40" s="87">
        <v>98</v>
      </c>
      <c r="N40" s="87"/>
      <c r="O40" s="87">
        <v>90</v>
      </c>
      <c r="P40" s="87"/>
      <c r="Q40" s="87"/>
      <c r="R40" s="87"/>
      <c r="S40" s="87"/>
      <c r="T40" s="87">
        <v>62</v>
      </c>
      <c r="U40" s="87">
        <v>95</v>
      </c>
      <c r="V40" s="88"/>
      <c r="W40" s="113">
        <f t="shared" si="0"/>
        <v>9</v>
      </c>
      <c r="X40" s="128">
        <f t="shared" si="1"/>
        <v>589</v>
      </c>
    </row>
    <row r="41" spans="2:24" ht="15">
      <c r="B41" s="19">
        <v>32</v>
      </c>
      <c r="C41" s="28" t="s">
        <v>187</v>
      </c>
      <c r="D41" s="18" t="s">
        <v>374</v>
      </c>
      <c r="E41" s="126">
        <v>0.0370949074074074</v>
      </c>
      <c r="F41" s="200">
        <v>85</v>
      </c>
      <c r="G41" s="87">
        <v>94</v>
      </c>
      <c r="H41" s="87">
        <v>94</v>
      </c>
      <c r="I41" s="87">
        <v>77</v>
      </c>
      <c r="J41" s="412">
        <v>63</v>
      </c>
      <c r="K41" s="412">
        <v>64</v>
      </c>
      <c r="L41" s="412">
        <v>57</v>
      </c>
      <c r="M41" s="87"/>
      <c r="N41" s="87"/>
      <c r="O41" s="87"/>
      <c r="P41" s="87">
        <v>73</v>
      </c>
      <c r="Q41" s="87"/>
      <c r="R41" s="87"/>
      <c r="S41" s="87"/>
      <c r="T41" s="87">
        <v>88</v>
      </c>
      <c r="U41" s="87">
        <v>77</v>
      </c>
      <c r="V41" s="88"/>
      <c r="W41" s="113">
        <f t="shared" si="0"/>
        <v>10</v>
      </c>
      <c r="X41" s="128">
        <f t="shared" si="1"/>
        <v>588</v>
      </c>
    </row>
    <row r="42" spans="2:24" ht="15">
      <c r="B42" s="19">
        <v>33</v>
      </c>
      <c r="C42" s="28" t="s">
        <v>314</v>
      </c>
      <c r="D42" s="18" t="s">
        <v>238</v>
      </c>
      <c r="E42" s="126">
        <v>0.03177083333333333</v>
      </c>
      <c r="F42" s="200">
        <v>88</v>
      </c>
      <c r="G42" s="412">
        <v>59</v>
      </c>
      <c r="H42" s="87">
        <v>76</v>
      </c>
      <c r="I42" s="87">
        <v>99</v>
      </c>
      <c r="J42" s="87">
        <v>78</v>
      </c>
      <c r="K42" s="87"/>
      <c r="L42" s="87">
        <v>66</v>
      </c>
      <c r="M42" s="87">
        <v>92</v>
      </c>
      <c r="N42" s="87"/>
      <c r="O42" s="87">
        <v>86</v>
      </c>
      <c r="P42" s="87"/>
      <c r="Q42" s="87"/>
      <c r="R42" s="87"/>
      <c r="S42" s="87"/>
      <c r="T42" s="87"/>
      <c r="U42" s="412">
        <v>63</v>
      </c>
      <c r="V42" s="88"/>
      <c r="W42" s="113">
        <f t="shared" si="0"/>
        <v>9</v>
      </c>
      <c r="X42" s="128">
        <f t="shared" si="1"/>
        <v>585</v>
      </c>
    </row>
    <row r="43" spans="2:24" ht="15">
      <c r="B43" s="19" t="s">
        <v>677</v>
      </c>
      <c r="C43" s="28" t="s">
        <v>224</v>
      </c>
      <c r="D43" s="18" t="s">
        <v>263</v>
      </c>
      <c r="E43" s="126">
        <v>0.04223379629629629</v>
      </c>
      <c r="F43" s="200">
        <v>95</v>
      </c>
      <c r="G43" s="87">
        <v>91</v>
      </c>
      <c r="H43" s="87">
        <v>91</v>
      </c>
      <c r="I43" s="87">
        <v>73</v>
      </c>
      <c r="J43" s="412">
        <v>61</v>
      </c>
      <c r="K43" s="87">
        <v>90</v>
      </c>
      <c r="L43" s="87"/>
      <c r="M43" s="87">
        <v>73</v>
      </c>
      <c r="N43" s="87"/>
      <c r="O43" s="87">
        <v>71</v>
      </c>
      <c r="P43" s="87"/>
      <c r="Q43" s="87"/>
      <c r="R43" s="87"/>
      <c r="S43" s="87"/>
      <c r="T43" s="87"/>
      <c r="U43" s="87"/>
      <c r="V43" s="88"/>
      <c r="W43" s="113">
        <f aca="true" t="shared" si="2" ref="W43:W62">COUNT(F43:V43)</f>
        <v>8</v>
      </c>
      <c r="X43" s="128">
        <f aca="true" t="shared" si="3" ref="X43:X62">IF(W43&lt;7,SUM(F43:V43),SUM(LARGE(F43:V43,1),LARGE(F43:V43,2),LARGE(F43:V43,3),LARGE(F43:V43,4),LARGE(F43:V43,5),LARGE(F43:V43,6),LARGE(F43:V43,7)))</f>
        <v>584</v>
      </c>
    </row>
    <row r="44" spans="2:24" ht="15">
      <c r="B44" s="19" t="s">
        <v>677</v>
      </c>
      <c r="C44" s="28" t="s">
        <v>63</v>
      </c>
      <c r="D44" s="18" t="s">
        <v>178</v>
      </c>
      <c r="E44" s="126">
        <v>0.03697916666666667</v>
      </c>
      <c r="F44" s="200">
        <v>84</v>
      </c>
      <c r="G44" s="87">
        <v>85</v>
      </c>
      <c r="H44" s="87">
        <v>92</v>
      </c>
      <c r="I44" s="412">
        <v>53</v>
      </c>
      <c r="J44" s="87"/>
      <c r="K44" s="87"/>
      <c r="L44" s="87"/>
      <c r="M44" s="87"/>
      <c r="N44" s="87"/>
      <c r="O44" s="412">
        <v>72</v>
      </c>
      <c r="P44" s="87">
        <v>72</v>
      </c>
      <c r="Q44" s="87">
        <v>99</v>
      </c>
      <c r="R44" s="87"/>
      <c r="S44" s="87"/>
      <c r="T44" s="87"/>
      <c r="U44" s="87"/>
      <c r="V44" s="88">
        <v>80</v>
      </c>
      <c r="W44" s="113">
        <f>COUNT(F44:V44)</f>
        <v>8</v>
      </c>
      <c r="X44" s="128">
        <f>IF(W44&lt;7,SUM(F44:V44),SUM(LARGE(F44:V44,1),LARGE(F44:V44,2),LARGE(F44:V44,3),LARGE(F44:V44,4),LARGE(F44:V44,5),LARGE(F44:V44,6),LARGE(F44:V44,7)))</f>
        <v>584</v>
      </c>
    </row>
    <row r="45" spans="2:24" ht="15">
      <c r="B45" s="19">
        <v>36</v>
      </c>
      <c r="C45" s="28" t="s">
        <v>228</v>
      </c>
      <c r="D45" s="18" t="s">
        <v>244</v>
      </c>
      <c r="E45" s="126">
        <v>0.039143518518518515</v>
      </c>
      <c r="F45" s="200"/>
      <c r="G45" s="87"/>
      <c r="H45" s="87"/>
      <c r="I45" s="87"/>
      <c r="J45" s="87">
        <v>54</v>
      </c>
      <c r="K45" s="87"/>
      <c r="L45" s="87"/>
      <c r="M45" s="87">
        <v>90</v>
      </c>
      <c r="N45" s="87"/>
      <c r="O45" s="87">
        <v>93</v>
      </c>
      <c r="P45" s="87"/>
      <c r="Q45" s="87">
        <v>84</v>
      </c>
      <c r="R45" s="87"/>
      <c r="S45" s="87"/>
      <c r="T45" s="87">
        <v>92</v>
      </c>
      <c r="U45" s="87">
        <v>89</v>
      </c>
      <c r="V45" s="88">
        <v>81</v>
      </c>
      <c r="W45" s="113">
        <f>COUNT(F45:V45)</f>
        <v>7</v>
      </c>
      <c r="X45" s="128">
        <f>IF(W45&lt;7,SUM(F45:V45),SUM(LARGE(F45:V45,1),LARGE(F45:V45,2),LARGE(F45:V45,3),LARGE(F45:V45,4),LARGE(F45:V45,5),LARGE(F45:V45,6),LARGE(F45:V45,7)))</f>
        <v>583</v>
      </c>
    </row>
    <row r="46" spans="2:24" ht="15">
      <c r="B46" s="19">
        <v>37</v>
      </c>
      <c r="C46" s="28" t="s">
        <v>117</v>
      </c>
      <c r="D46" s="18" t="s">
        <v>118</v>
      </c>
      <c r="E46" s="126">
        <v>0.03335648148148148</v>
      </c>
      <c r="F46" s="200"/>
      <c r="G46" s="412">
        <v>53</v>
      </c>
      <c r="H46" s="87"/>
      <c r="I46" s="87"/>
      <c r="J46" s="87">
        <v>68</v>
      </c>
      <c r="K46" s="87"/>
      <c r="L46" s="412">
        <v>58</v>
      </c>
      <c r="M46" s="412">
        <v>35</v>
      </c>
      <c r="N46" s="87">
        <v>78</v>
      </c>
      <c r="O46" s="87">
        <v>99</v>
      </c>
      <c r="P46" s="87"/>
      <c r="Q46" s="87"/>
      <c r="R46" s="87">
        <v>99</v>
      </c>
      <c r="S46" s="87">
        <v>75</v>
      </c>
      <c r="T46" s="87"/>
      <c r="U46" s="87">
        <v>78</v>
      </c>
      <c r="V46" s="88">
        <v>79</v>
      </c>
      <c r="W46" s="113">
        <f>COUNT(F46:V46)</f>
        <v>10</v>
      </c>
      <c r="X46" s="128">
        <f>IF(W46&lt;7,SUM(F46:V46),SUM(LARGE(F46:V46,1),LARGE(F46:V46,2),LARGE(F46:V46,3),LARGE(F46:V46,4),LARGE(F46:V46,5),LARGE(F46:V46,6),LARGE(F46:V46,7)))</f>
        <v>576</v>
      </c>
    </row>
    <row r="47" spans="2:24" ht="15">
      <c r="B47" s="19" t="s">
        <v>678</v>
      </c>
      <c r="C47" s="28" t="s">
        <v>31</v>
      </c>
      <c r="D47" s="18" t="s">
        <v>310</v>
      </c>
      <c r="E47" s="126">
        <v>0.025104166666666664</v>
      </c>
      <c r="F47" s="200">
        <v>72</v>
      </c>
      <c r="G47" s="87"/>
      <c r="H47" s="87">
        <v>72</v>
      </c>
      <c r="I47" s="87">
        <v>83</v>
      </c>
      <c r="J47" s="412">
        <v>64</v>
      </c>
      <c r="K47" s="87">
        <v>95</v>
      </c>
      <c r="L47" s="87">
        <v>93</v>
      </c>
      <c r="M47" s="87"/>
      <c r="N47" s="87"/>
      <c r="O47" s="87"/>
      <c r="P47" s="87">
        <v>86</v>
      </c>
      <c r="Q47" s="87"/>
      <c r="R47" s="87"/>
      <c r="S47" s="87"/>
      <c r="T47" s="412">
        <v>67</v>
      </c>
      <c r="U47" s="87">
        <v>70</v>
      </c>
      <c r="V47" s="88"/>
      <c r="W47" s="113">
        <f t="shared" si="2"/>
        <v>9</v>
      </c>
      <c r="X47" s="128">
        <f t="shared" si="3"/>
        <v>571</v>
      </c>
    </row>
    <row r="48" spans="2:24" ht="15">
      <c r="B48" s="19" t="s">
        <v>678</v>
      </c>
      <c r="C48" s="28" t="s">
        <v>317</v>
      </c>
      <c r="D48" s="18" t="s">
        <v>116</v>
      </c>
      <c r="E48" s="126">
        <v>0.03833333333333334</v>
      </c>
      <c r="F48" s="200"/>
      <c r="G48" s="412">
        <v>67</v>
      </c>
      <c r="H48" s="412">
        <v>65</v>
      </c>
      <c r="I48" s="87">
        <v>80</v>
      </c>
      <c r="J48" s="87">
        <v>89</v>
      </c>
      <c r="K48" s="87">
        <v>83</v>
      </c>
      <c r="L48" s="87">
        <v>71</v>
      </c>
      <c r="M48" s="412">
        <v>42</v>
      </c>
      <c r="N48" s="87"/>
      <c r="O48" s="412">
        <v>57</v>
      </c>
      <c r="P48" s="87"/>
      <c r="Q48" s="87">
        <v>76</v>
      </c>
      <c r="R48" s="87">
        <v>89</v>
      </c>
      <c r="S48" s="87"/>
      <c r="T48" s="87"/>
      <c r="U48" s="87"/>
      <c r="V48" s="88">
        <v>83</v>
      </c>
      <c r="W48" s="113">
        <f>COUNT(F48:V48)</f>
        <v>11</v>
      </c>
      <c r="X48" s="128">
        <f>IF(W48&lt;7,SUM(F48:V48),SUM(LARGE(F48:V48,1),LARGE(F48:V48,2),LARGE(F48:V48,3),LARGE(F48:V48,4),LARGE(F48:V48,5),LARGE(F48:V48,6),LARGE(F48:V48,7)))</f>
        <v>571</v>
      </c>
    </row>
    <row r="49" spans="2:24" ht="15">
      <c r="B49" s="19">
        <v>40</v>
      </c>
      <c r="C49" s="28" t="s">
        <v>31</v>
      </c>
      <c r="D49" s="18" t="s">
        <v>75</v>
      </c>
      <c r="E49" s="126">
        <v>0.034201388888888885</v>
      </c>
      <c r="F49" s="412">
        <v>53</v>
      </c>
      <c r="G49" s="87">
        <v>64</v>
      </c>
      <c r="H49" s="412">
        <v>62</v>
      </c>
      <c r="I49" s="87">
        <v>79</v>
      </c>
      <c r="J49" s="87">
        <v>77</v>
      </c>
      <c r="K49" s="412">
        <v>58</v>
      </c>
      <c r="L49" s="412">
        <v>40</v>
      </c>
      <c r="M49" s="87"/>
      <c r="N49" s="87"/>
      <c r="O49" s="87">
        <v>85</v>
      </c>
      <c r="P49" s="87"/>
      <c r="Q49" s="87">
        <v>98</v>
      </c>
      <c r="R49" s="87"/>
      <c r="S49" s="87"/>
      <c r="T49" s="87"/>
      <c r="U49" s="87">
        <v>67</v>
      </c>
      <c r="V49" s="88">
        <v>90</v>
      </c>
      <c r="W49" s="113">
        <f>COUNT(F49:V49)</f>
        <v>11</v>
      </c>
      <c r="X49" s="128">
        <f>IF(W49&lt;7,SUM(F49:V49),SUM(LARGE(F49:V49,1),LARGE(F49:V49,2),LARGE(F49:V49,3),LARGE(F49:V49,4),LARGE(F49:V49,5),LARGE(F49:V49,6),LARGE(F49:V49,7)))</f>
        <v>560</v>
      </c>
    </row>
    <row r="50" spans="2:24" ht="15">
      <c r="B50" s="19">
        <v>41</v>
      </c>
      <c r="C50" s="28" t="s">
        <v>235</v>
      </c>
      <c r="D50" s="18" t="s">
        <v>236</v>
      </c>
      <c r="E50" s="126">
        <v>0.031504629629629625</v>
      </c>
      <c r="F50" s="200">
        <v>74</v>
      </c>
      <c r="G50" s="87"/>
      <c r="H50" s="87">
        <v>68</v>
      </c>
      <c r="I50" s="87">
        <v>81</v>
      </c>
      <c r="J50" s="87">
        <v>87</v>
      </c>
      <c r="K50" s="87"/>
      <c r="L50" s="87">
        <v>62</v>
      </c>
      <c r="M50" s="412">
        <v>53</v>
      </c>
      <c r="N50" s="87"/>
      <c r="O50" s="87">
        <v>77</v>
      </c>
      <c r="P50" s="87"/>
      <c r="Q50" s="87">
        <v>82</v>
      </c>
      <c r="R50" s="87"/>
      <c r="S50" s="87"/>
      <c r="T50" s="87"/>
      <c r="U50" s="87"/>
      <c r="V50" s="88"/>
      <c r="W50" s="113">
        <f t="shared" si="2"/>
        <v>8</v>
      </c>
      <c r="X50" s="128">
        <f t="shared" si="3"/>
        <v>531</v>
      </c>
    </row>
    <row r="51" spans="2:24" ht="15">
      <c r="B51" s="19">
        <v>42</v>
      </c>
      <c r="C51" s="28" t="s">
        <v>234</v>
      </c>
      <c r="D51" s="18" t="s">
        <v>230</v>
      </c>
      <c r="E51" s="126">
        <v>0.042986111111111114</v>
      </c>
      <c r="F51" s="200">
        <v>75</v>
      </c>
      <c r="G51" s="87">
        <v>81</v>
      </c>
      <c r="H51" s="87"/>
      <c r="I51" s="87">
        <v>70</v>
      </c>
      <c r="J51" s="412">
        <v>51</v>
      </c>
      <c r="K51" s="87">
        <v>79</v>
      </c>
      <c r="L51" s="87">
        <v>53</v>
      </c>
      <c r="M51" s="87">
        <v>97</v>
      </c>
      <c r="N51" s="87"/>
      <c r="O51" s="87">
        <v>75</v>
      </c>
      <c r="P51" s="87"/>
      <c r="Q51" s="87"/>
      <c r="R51" s="87"/>
      <c r="S51" s="87"/>
      <c r="T51" s="87"/>
      <c r="U51" s="87"/>
      <c r="V51" s="88"/>
      <c r="W51" s="113">
        <f t="shared" si="2"/>
        <v>8</v>
      </c>
      <c r="X51" s="128">
        <f t="shared" si="3"/>
        <v>530</v>
      </c>
    </row>
    <row r="52" spans="2:24" ht="15">
      <c r="B52" s="19">
        <v>43</v>
      </c>
      <c r="C52" s="28" t="s">
        <v>413</v>
      </c>
      <c r="D52" s="18" t="s">
        <v>137</v>
      </c>
      <c r="E52" s="126">
        <v>0.0350462962962963</v>
      </c>
      <c r="F52" s="200">
        <v>93</v>
      </c>
      <c r="G52" s="87">
        <v>76</v>
      </c>
      <c r="H52" s="87"/>
      <c r="I52" s="87">
        <v>67</v>
      </c>
      <c r="J52" s="87"/>
      <c r="K52" s="87"/>
      <c r="L52" s="87"/>
      <c r="M52" s="87">
        <v>40</v>
      </c>
      <c r="N52" s="87"/>
      <c r="O52" s="87">
        <v>94</v>
      </c>
      <c r="P52" s="87">
        <v>83</v>
      </c>
      <c r="Q52" s="87"/>
      <c r="R52" s="87"/>
      <c r="S52" s="87">
        <v>76</v>
      </c>
      <c r="T52" s="87"/>
      <c r="U52" s="87"/>
      <c r="V52" s="88"/>
      <c r="W52" s="113">
        <f t="shared" si="2"/>
        <v>7</v>
      </c>
      <c r="X52" s="128">
        <f t="shared" si="3"/>
        <v>529</v>
      </c>
    </row>
    <row r="53" spans="2:24" ht="15">
      <c r="B53" s="19">
        <v>44</v>
      </c>
      <c r="C53" s="28" t="s">
        <v>314</v>
      </c>
      <c r="D53" s="18" t="s">
        <v>101</v>
      </c>
      <c r="E53" s="126">
        <v>0.031111111111111107</v>
      </c>
      <c r="F53" s="412">
        <v>55</v>
      </c>
      <c r="G53" s="87">
        <v>69</v>
      </c>
      <c r="H53" s="87"/>
      <c r="I53" s="87">
        <v>66</v>
      </c>
      <c r="J53" s="87">
        <v>67</v>
      </c>
      <c r="K53" s="87"/>
      <c r="L53" s="87"/>
      <c r="M53" s="87">
        <v>91</v>
      </c>
      <c r="N53" s="87"/>
      <c r="O53" s="87">
        <v>70</v>
      </c>
      <c r="P53" s="87"/>
      <c r="Q53" s="87"/>
      <c r="R53" s="87"/>
      <c r="S53" s="87"/>
      <c r="T53" s="87">
        <v>74</v>
      </c>
      <c r="U53" s="87">
        <v>86</v>
      </c>
      <c r="V53" s="88"/>
      <c r="W53" s="113">
        <f t="shared" si="2"/>
        <v>8</v>
      </c>
      <c r="X53" s="128">
        <f t="shared" si="3"/>
        <v>523</v>
      </c>
    </row>
    <row r="54" spans="2:24" ht="15">
      <c r="B54" s="19">
        <v>45</v>
      </c>
      <c r="C54" s="28" t="s">
        <v>408</v>
      </c>
      <c r="D54" s="18" t="s">
        <v>420</v>
      </c>
      <c r="E54" s="126">
        <v>0.026041666666666668</v>
      </c>
      <c r="F54" s="200"/>
      <c r="G54" s="87"/>
      <c r="H54" s="87"/>
      <c r="I54" s="87"/>
      <c r="J54" s="87">
        <v>62</v>
      </c>
      <c r="K54" s="87">
        <v>69</v>
      </c>
      <c r="L54" s="87">
        <v>73</v>
      </c>
      <c r="M54" s="87">
        <v>83</v>
      </c>
      <c r="N54" s="87"/>
      <c r="O54" s="87">
        <v>62</v>
      </c>
      <c r="P54" s="87">
        <v>96</v>
      </c>
      <c r="Q54" s="87"/>
      <c r="R54" s="87"/>
      <c r="S54" s="87"/>
      <c r="T54" s="87">
        <v>73</v>
      </c>
      <c r="U54" s="87"/>
      <c r="V54" s="88"/>
      <c r="W54" s="113">
        <f t="shared" si="2"/>
        <v>7</v>
      </c>
      <c r="X54" s="128">
        <f t="shared" si="3"/>
        <v>518</v>
      </c>
    </row>
    <row r="55" spans="2:24" ht="15">
      <c r="B55" s="19">
        <v>46</v>
      </c>
      <c r="C55" s="28" t="s">
        <v>218</v>
      </c>
      <c r="D55" s="18" t="s">
        <v>30</v>
      </c>
      <c r="E55" s="126">
        <v>0.024293981481481482</v>
      </c>
      <c r="F55" s="200"/>
      <c r="G55" s="87"/>
      <c r="H55" s="87"/>
      <c r="I55" s="87">
        <v>98</v>
      </c>
      <c r="J55" s="87"/>
      <c r="K55" s="87">
        <v>93</v>
      </c>
      <c r="L55" s="87">
        <v>96</v>
      </c>
      <c r="M55" s="87"/>
      <c r="N55" s="87">
        <v>81</v>
      </c>
      <c r="O55" s="87"/>
      <c r="P55" s="87">
        <v>89</v>
      </c>
      <c r="Q55" s="87"/>
      <c r="R55" s="87"/>
      <c r="S55" s="87"/>
      <c r="T55" s="87">
        <v>60</v>
      </c>
      <c r="U55" s="87"/>
      <c r="V55" s="88"/>
      <c r="W55" s="113">
        <f t="shared" si="2"/>
        <v>6</v>
      </c>
      <c r="X55" s="128">
        <f t="shared" si="3"/>
        <v>517</v>
      </c>
    </row>
    <row r="56" spans="2:24" ht="15">
      <c r="B56" s="19">
        <v>47</v>
      </c>
      <c r="C56" s="28" t="s">
        <v>379</v>
      </c>
      <c r="D56" s="18" t="s">
        <v>341</v>
      </c>
      <c r="E56" s="126">
        <v>0.03966435185185185</v>
      </c>
      <c r="F56" s="200">
        <v>65</v>
      </c>
      <c r="G56" s="87">
        <v>66</v>
      </c>
      <c r="H56" s="87"/>
      <c r="I56" s="87"/>
      <c r="J56" s="87"/>
      <c r="K56" s="87"/>
      <c r="L56" s="87">
        <v>47</v>
      </c>
      <c r="M56" s="87">
        <v>75</v>
      </c>
      <c r="N56" s="87"/>
      <c r="O56" s="87"/>
      <c r="P56" s="87"/>
      <c r="Q56" s="87">
        <v>88</v>
      </c>
      <c r="R56" s="87"/>
      <c r="S56" s="87">
        <v>73</v>
      </c>
      <c r="T56" s="87"/>
      <c r="U56" s="87">
        <v>99</v>
      </c>
      <c r="V56" s="88"/>
      <c r="W56" s="113">
        <f t="shared" si="2"/>
        <v>7</v>
      </c>
      <c r="X56" s="128">
        <f t="shared" si="3"/>
        <v>513</v>
      </c>
    </row>
    <row r="57" spans="2:24" ht="15">
      <c r="B57" s="19">
        <v>48</v>
      </c>
      <c r="C57" s="28" t="s">
        <v>237</v>
      </c>
      <c r="D57" s="18" t="s">
        <v>271</v>
      </c>
      <c r="E57" s="126">
        <v>0.03885416666666667</v>
      </c>
      <c r="F57" s="200"/>
      <c r="G57" s="87">
        <v>82</v>
      </c>
      <c r="H57" s="87"/>
      <c r="I57" s="87"/>
      <c r="J57" s="87"/>
      <c r="K57" s="87"/>
      <c r="L57" s="87">
        <v>60</v>
      </c>
      <c r="M57" s="87">
        <v>81</v>
      </c>
      <c r="N57" s="87"/>
      <c r="O57" s="87">
        <v>91</v>
      </c>
      <c r="P57" s="87"/>
      <c r="Q57" s="87"/>
      <c r="R57" s="87"/>
      <c r="S57" s="87"/>
      <c r="T57" s="87">
        <v>100</v>
      </c>
      <c r="U57" s="87"/>
      <c r="V57" s="88">
        <v>93</v>
      </c>
      <c r="W57" s="113">
        <f>COUNT(F57:V57)</f>
        <v>6</v>
      </c>
      <c r="X57" s="128">
        <f>IF(W57&lt;7,SUM(F57:V57),SUM(LARGE(F57:V57,1),LARGE(F57:V57,2),LARGE(F57:V57,3),LARGE(F57:V57,4),LARGE(F57:V57,5),LARGE(F57:V57,6),LARGE(F57:V57,7)))</f>
        <v>507</v>
      </c>
    </row>
    <row r="58" spans="2:24" ht="15">
      <c r="B58" s="19">
        <v>49</v>
      </c>
      <c r="C58" s="28" t="s">
        <v>390</v>
      </c>
      <c r="D58" s="18" t="s">
        <v>207</v>
      </c>
      <c r="E58" s="126">
        <v>0.04297453703703704</v>
      </c>
      <c r="F58" s="200"/>
      <c r="G58" s="87"/>
      <c r="H58" s="87"/>
      <c r="I58" s="87">
        <v>89</v>
      </c>
      <c r="J58" s="87"/>
      <c r="K58" s="87">
        <v>76</v>
      </c>
      <c r="L58" s="87">
        <v>65</v>
      </c>
      <c r="M58" s="87"/>
      <c r="N58" s="87"/>
      <c r="O58" s="87">
        <v>84</v>
      </c>
      <c r="P58" s="87"/>
      <c r="Q58" s="87"/>
      <c r="R58" s="87"/>
      <c r="S58" s="87">
        <v>86</v>
      </c>
      <c r="T58" s="87">
        <v>94</v>
      </c>
      <c r="U58" s="87"/>
      <c r="V58" s="88"/>
      <c r="W58" s="113">
        <f t="shared" si="2"/>
        <v>6</v>
      </c>
      <c r="X58" s="128">
        <f t="shared" si="3"/>
        <v>494</v>
      </c>
    </row>
    <row r="59" spans="2:24" ht="15">
      <c r="B59" s="19">
        <v>50</v>
      </c>
      <c r="C59" s="28" t="s">
        <v>103</v>
      </c>
      <c r="D59" s="18" t="s">
        <v>135</v>
      </c>
      <c r="E59" s="126">
        <v>0.034942129629629635</v>
      </c>
      <c r="F59" s="200">
        <v>78</v>
      </c>
      <c r="G59" s="87"/>
      <c r="H59" s="87">
        <v>73</v>
      </c>
      <c r="I59" s="87">
        <v>52</v>
      </c>
      <c r="J59" s="87"/>
      <c r="K59" s="87">
        <v>85</v>
      </c>
      <c r="L59" s="87"/>
      <c r="M59" s="87">
        <v>52</v>
      </c>
      <c r="N59" s="87">
        <v>83</v>
      </c>
      <c r="O59" s="87">
        <v>63</v>
      </c>
      <c r="P59" s="87"/>
      <c r="Q59" s="87"/>
      <c r="R59" s="87"/>
      <c r="S59" s="87"/>
      <c r="T59" s="87"/>
      <c r="U59" s="87"/>
      <c r="V59" s="88"/>
      <c r="W59" s="113">
        <f t="shared" si="2"/>
        <v>7</v>
      </c>
      <c r="X59" s="128">
        <f t="shared" si="3"/>
        <v>486</v>
      </c>
    </row>
    <row r="60" spans="2:24" ht="15">
      <c r="B60" s="19">
        <v>51</v>
      </c>
      <c r="C60" s="28" t="s">
        <v>342</v>
      </c>
      <c r="D60" s="18" t="s">
        <v>341</v>
      </c>
      <c r="E60" s="126">
        <v>0.03363425925925926</v>
      </c>
      <c r="F60" s="200"/>
      <c r="G60" s="87">
        <v>63</v>
      </c>
      <c r="H60" s="87"/>
      <c r="I60" s="87"/>
      <c r="J60" s="87">
        <v>58</v>
      </c>
      <c r="K60" s="87"/>
      <c r="L60" s="87">
        <v>54</v>
      </c>
      <c r="M60" s="87">
        <v>48</v>
      </c>
      <c r="N60" s="87"/>
      <c r="O60" s="87"/>
      <c r="P60" s="87"/>
      <c r="Q60" s="87"/>
      <c r="R60" s="87"/>
      <c r="S60" s="87">
        <v>68</v>
      </c>
      <c r="T60" s="87"/>
      <c r="U60" s="87">
        <v>92</v>
      </c>
      <c r="V60" s="88">
        <v>86</v>
      </c>
      <c r="W60" s="113">
        <f>COUNT(F60:V60)</f>
        <v>7</v>
      </c>
      <c r="X60" s="128">
        <f>IF(W60&lt;7,SUM(F60:V60),SUM(LARGE(F60:V60,1),LARGE(F60:V60,2),LARGE(F60:V60,3),LARGE(F60:V60,4),LARGE(F60:V60,5),LARGE(F60:V60,6),LARGE(F60:V60,7)))</f>
        <v>469</v>
      </c>
    </row>
    <row r="61" spans="2:24" ht="15">
      <c r="B61" s="19">
        <v>52</v>
      </c>
      <c r="C61" s="28" t="s">
        <v>353</v>
      </c>
      <c r="D61" s="18" t="s">
        <v>95</v>
      </c>
      <c r="E61" s="126">
        <v>0.032199074074074074</v>
      </c>
      <c r="F61" s="200">
        <v>87</v>
      </c>
      <c r="G61" s="87"/>
      <c r="H61" s="87"/>
      <c r="I61" s="87"/>
      <c r="J61" s="87"/>
      <c r="K61" s="87">
        <v>71</v>
      </c>
      <c r="L61" s="87">
        <v>85</v>
      </c>
      <c r="M61" s="87"/>
      <c r="N61" s="87"/>
      <c r="O61" s="87"/>
      <c r="P61" s="87"/>
      <c r="Q61" s="87"/>
      <c r="R61" s="87"/>
      <c r="S61" s="87">
        <v>78</v>
      </c>
      <c r="T61" s="87">
        <v>59</v>
      </c>
      <c r="U61" s="87"/>
      <c r="V61" s="88">
        <v>84</v>
      </c>
      <c r="W61" s="113">
        <f>COUNT(F61:V61)</f>
        <v>6</v>
      </c>
      <c r="X61" s="128">
        <f>IF(W61&lt;7,SUM(F61:V61),SUM(LARGE(F61:V61,1),LARGE(F61:V61,2),LARGE(F61:V61,3),LARGE(F61:V61,4),LARGE(F61:V61,5),LARGE(F61:V61,6),LARGE(F61:V61,7)))</f>
        <v>464</v>
      </c>
    </row>
    <row r="62" spans="2:24" ht="15">
      <c r="B62" s="19">
        <v>53</v>
      </c>
      <c r="C62" s="28" t="s">
        <v>219</v>
      </c>
      <c r="D62" s="18" t="s">
        <v>556</v>
      </c>
      <c r="E62" s="126">
        <v>0.029826388888888892</v>
      </c>
      <c r="F62" s="200"/>
      <c r="G62" s="87"/>
      <c r="H62" s="87"/>
      <c r="I62" s="87"/>
      <c r="J62" s="87">
        <v>92</v>
      </c>
      <c r="K62" s="87"/>
      <c r="L62" s="87">
        <v>74</v>
      </c>
      <c r="M62" s="87"/>
      <c r="N62" s="87"/>
      <c r="O62" s="87">
        <v>96</v>
      </c>
      <c r="P62" s="87"/>
      <c r="Q62" s="87"/>
      <c r="R62" s="87"/>
      <c r="S62" s="87"/>
      <c r="T62" s="87">
        <v>97</v>
      </c>
      <c r="U62" s="87">
        <v>97</v>
      </c>
      <c r="V62" s="88"/>
      <c r="W62" s="113">
        <f t="shared" si="2"/>
        <v>5</v>
      </c>
      <c r="X62" s="128">
        <f t="shared" si="3"/>
        <v>456</v>
      </c>
    </row>
    <row r="63" spans="2:24" ht="15">
      <c r="B63" s="19">
        <v>54</v>
      </c>
      <c r="C63" s="28" t="s">
        <v>33</v>
      </c>
      <c r="D63" s="18" t="s">
        <v>123</v>
      </c>
      <c r="E63" s="126">
        <v>0.03622685185185185</v>
      </c>
      <c r="F63" s="200"/>
      <c r="G63" s="87"/>
      <c r="H63" s="87">
        <v>88</v>
      </c>
      <c r="I63" s="87"/>
      <c r="J63" s="87"/>
      <c r="K63" s="87">
        <v>68</v>
      </c>
      <c r="L63" s="87"/>
      <c r="M63" s="87">
        <v>62</v>
      </c>
      <c r="N63" s="87">
        <v>85</v>
      </c>
      <c r="O63" s="87"/>
      <c r="P63" s="87"/>
      <c r="Q63" s="87">
        <v>86</v>
      </c>
      <c r="R63" s="87"/>
      <c r="S63" s="87"/>
      <c r="T63" s="87">
        <v>63</v>
      </c>
      <c r="U63" s="87"/>
      <c r="V63" s="88"/>
      <c r="W63" s="113">
        <f aca="true" t="shared" si="4" ref="W63:W71">COUNT(F63:V63)</f>
        <v>6</v>
      </c>
      <c r="X63" s="128">
        <f aca="true" t="shared" si="5" ref="X63:X71">IF(W63&lt;7,SUM(F63:V63),SUM(LARGE(F63:V63,1),LARGE(F63:V63,2),LARGE(F63:V63,3),LARGE(F63:V63,4),LARGE(F63:V63,5),LARGE(F63:V63,6),LARGE(F63:V63,7)))</f>
        <v>452</v>
      </c>
    </row>
    <row r="64" spans="2:24" ht="15">
      <c r="B64" s="19">
        <v>55</v>
      </c>
      <c r="C64" s="28" t="s">
        <v>96</v>
      </c>
      <c r="D64" s="18" t="s">
        <v>296</v>
      </c>
      <c r="E64" s="126">
        <v>0.03799768518518518</v>
      </c>
      <c r="F64" s="200"/>
      <c r="G64" s="87">
        <v>61</v>
      </c>
      <c r="H64" s="87"/>
      <c r="I64" s="87"/>
      <c r="J64" s="87">
        <v>80</v>
      </c>
      <c r="K64" s="87">
        <v>88</v>
      </c>
      <c r="L64" s="87">
        <v>77</v>
      </c>
      <c r="M64" s="87">
        <v>60</v>
      </c>
      <c r="N64" s="87"/>
      <c r="O64" s="87"/>
      <c r="P64" s="87"/>
      <c r="Q64" s="87"/>
      <c r="R64" s="87"/>
      <c r="S64" s="87"/>
      <c r="T64" s="87"/>
      <c r="U64" s="87">
        <v>82</v>
      </c>
      <c r="V64" s="88"/>
      <c r="W64" s="113">
        <f>COUNT(F64:V64)</f>
        <v>6</v>
      </c>
      <c r="X64" s="128">
        <f>IF(W64&lt;7,SUM(F64:V64),SUM(LARGE(F64:V64,1),LARGE(F64:V64,2),LARGE(F64:V64,3),LARGE(F64:V64,4),LARGE(F64:V64,5),LARGE(F64:V64,6),LARGE(F64:V64,7)))</f>
        <v>448</v>
      </c>
    </row>
    <row r="65" spans="2:24" ht="15">
      <c r="B65" s="19">
        <v>56</v>
      </c>
      <c r="C65" s="28" t="s">
        <v>320</v>
      </c>
      <c r="D65" s="18" t="s">
        <v>310</v>
      </c>
      <c r="E65" s="126">
        <v>0.031516203703703706</v>
      </c>
      <c r="F65" s="200">
        <v>69</v>
      </c>
      <c r="G65" s="87"/>
      <c r="H65" s="87">
        <v>64</v>
      </c>
      <c r="I65" s="87">
        <v>97</v>
      </c>
      <c r="J65" s="87"/>
      <c r="K65" s="87">
        <v>80</v>
      </c>
      <c r="L65" s="87">
        <v>78</v>
      </c>
      <c r="M65" s="87"/>
      <c r="N65" s="87"/>
      <c r="O65" s="87"/>
      <c r="P65" s="87"/>
      <c r="Q65" s="87"/>
      <c r="R65" s="87"/>
      <c r="S65" s="87"/>
      <c r="T65" s="87">
        <v>56</v>
      </c>
      <c r="U65" s="87"/>
      <c r="V65" s="88"/>
      <c r="W65" s="113">
        <f t="shared" si="4"/>
        <v>6</v>
      </c>
      <c r="X65" s="128">
        <f t="shared" si="5"/>
        <v>444</v>
      </c>
    </row>
    <row r="66" spans="2:24" ht="15">
      <c r="B66" s="19">
        <v>57</v>
      </c>
      <c r="C66" s="28" t="s">
        <v>239</v>
      </c>
      <c r="D66" s="18" t="s">
        <v>240</v>
      </c>
      <c r="E66" s="126">
        <v>0.04145833333333333</v>
      </c>
      <c r="F66" s="200"/>
      <c r="G66" s="87"/>
      <c r="H66" s="87"/>
      <c r="I66" s="87"/>
      <c r="J66" s="87">
        <v>100</v>
      </c>
      <c r="K66" s="87"/>
      <c r="L66" s="87">
        <v>91</v>
      </c>
      <c r="M66" s="87">
        <v>72</v>
      </c>
      <c r="N66" s="87"/>
      <c r="O66" s="87"/>
      <c r="P66" s="87">
        <v>88</v>
      </c>
      <c r="Q66" s="87"/>
      <c r="R66" s="87"/>
      <c r="S66" s="87">
        <v>81</v>
      </c>
      <c r="T66" s="87"/>
      <c r="U66" s="87"/>
      <c r="V66" s="88"/>
      <c r="W66" s="113">
        <f t="shared" si="4"/>
        <v>5</v>
      </c>
      <c r="X66" s="128">
        <f t="shared" si="5"/>
        <v>432</v>
      </c>
    </row>
    <row r="67" spans="2:24" ht="15">
      <c r="B67" s="19" t="s">
        <v>679</v>
      </c>
      <c r="C67" s="28" t="s">
        <v>332</v>
      </c>
      <c r="D67" s="18" t="s">
        <v>333</v>
      </c>
      <c r="E67" s="126">
        <v>0.039050925925925926</v>
      </c>
      <c r="F67" s="200">
        <v>98</v>
      </c>
      <c r="G67" s="87">
        <v>90</v>
      </c>
      <c r="H67" s="87"/>
      <c r="I67" s="87"/>
      <c r="J67" s="87">
        <v>85</v>
      </c>
      <c r="K67" s="87"/>
      <c r="L67" s="87">
        <v>83</v>
      </c>
      <c r="M67" s="87"/>
      <c r="N67" s="87"/>
      <c r="O67" s="87"/>
      <c r="P67" s="87"/>
      <c r="Q67" s="87"/>
      <c r="R67" s="87"/>
      <c r="S67" s="87"/>
      <c r="T67" s="87"/>
      <c r="U67" s="87">
        <v>64</v>
      </c>
      <c r="V67" s="88"/>
      <c r="W67" s="113">
        <f>COUNT(F67:V67)</f>
        <v>5</v>
      </c>
      <c r="X67" s="128">
        <f>IF(W67&lt;7,SUM(F67:V67),SUM(LARGE(F67:V67,1),LARGE(F67:V67,2),LARGE(F67:V67,3),LARGE(F67:V67,4),LARGE(F67:V67,5),LARGE(F67:V67,6),LARGE(F67:V67,7)))</f>
        <v>420</v>
      </c>
    </row>
    <row r="68" spans="2:24" ht="15">
      <c r="B68" s="19" t="s">
        <v>679</v>
      </c>
      <c r="C68" s="28" t="s">
        <v>228</v>
      </c>
      <c r="D68" s="18" t="s">
        <v>340</v>
      </c>
      <c r="E68" s="126">
        <v>0.03357638888888889</v>
      </c>
      <c r="F68" s="200"/>
      <c r="G68" s="87"/>
      <c r="H68" s="87"/>
      <c r="I68" s="87">
        <v>57</v>
      </c>
      <c r="J68" s="87">
        <v>46</v>
      </c>
      <c r="K68" s="87"/>
      <c r="L68" s="87"/>
      <c r="M68" s="87">
        <v>36</v>
      </c>
      <c r="N68" s="87"/>
      <c r="O68" s="87">
        <v>92</v>
      </c>
      <c r="P68" s="87"/>
      <c r="Q68" s="87">
        <v>95</v>
      </c>
      <c r="R68" s="87"/>
      <c r="S68" s="87"/>
      <c r="T68" s="87"/>
      <c r="U68" s="87"/>
      <c r="V68" s="88">
        <v>94</v>
      </c>
      <c r="W68" s="113">
        <f>COUNT(F68:V68)</f>
        <v>6</v>
      </c>
      <c r="X68" s="128">
        <f>IF(W68&lt;7,SUM(F68:V68),SUM(LARGE(F68:V68,1),LARGE(F68:V68,2),LARGE(F68:V68,3),LARGE(F68:V68,4),LARGE(F68:V68,5),LARGE(F68:V68,6),LARGE(F68:V68,7)))</f>
        <v>420</v>
      </c>
    </row>
    <row r="69" spans="2:24" ht="15">
      <c r="B69" s="19">
        <v>60</v>
      </c>
      <c r="C69" s="28" t="s">
        <v>63</v>
      </c>
      <c r="D69" s="18" t="s">
        <v>38</v>
      </c>
      <c r="E69" s="126">
        <v>0.03327546296296296</v>
      </c>
      <c r="F69" s="200"/>
      <c r="G69" s="87">
        <v>58</v>
      </c>
      <c r="H69" s="87"/>
      <c r="I69" s="87">
        <v>72</v>
      </c>
      <c r="J69" s="87"/>
      <c r="K69" s="87"/>
      <c r="L69" s="87"/>
      <c r="M69" s="87"/>
      <c r="N69" s="87"/>
      <c r="O69" s="87"/>
      <c r="P69" s="87">
        <v>87</v>
      </c>
      <c r="Q69" s="87"/>
      <c r="R69" s="87">
        <v>94</v>
      </c>
      <c r="S69" s="87"/>
      <c r="T69" s="87">
        <v>75</v>
      </c>
      <c r="U69" s="87"/>
      <c r="V69" s="88"/>
      <c r="W69" s="113">
        <f t="shared" si="4"/>
        <v>5</v>
      </c>
      <c r="X69" s="128">
        <f t="shared" si="5"/>
        <v>386</v>
      </c>
    </row>
    <row r="70" spans="2:24" ht="15">
      <c r="B70" s="19">
        <v>61</v>
      </c>
      <c r="C70" s="28" t="s">
        <v>316</v>
      </c>
      <c r="D70" s="18" t="s">
        <v>315</v>
      </c>
      <c r="E70" s="126">
        <v>0.035034722222222224</v>
      </c>
      <c r="F70" s="200"/>
      <c r="G70" s="87">
        <v>52</v>
      </c>
      <c r="H70" s="87"/>
      <c r="I70" s="87"/>
      <c r="J70" s="87">
        <v>47</v>
      </c>
      <c r="K70" s="87">
        <v>60</v>
      </c>
      <c r="L70" s="87"/>
      <c r="M70" s="87">
        <v>80</v>
      </c>
      <c r="N70" s="87"/>
      <c r="O70" s="87">
        <v>64</v>
      </c>
      <c r="P70" s="87"/>
      <c r="Q70" s="87"/>
      <c r="R70" s="87"/>
      <c r="S70" s="87"/>
      <c r="T70" s="87">
        <v>76</v>
      </c>
      <c r="U70" s="87"/>
      <c r="V70" s="88"/>
      <c r="W70" s="113">
        <f t="shared" si="4"/>
        <v>6</v>
      </c>
      <c r="X70" s="128">
        <f t="shared" si="5"/>
        <v>379</v>
      </c>
    </row>
    <row r="71" spans="2:24" ht="15">
      <c r="B71" s="19">
        <v>62</v>
      </c>
      <c r="C71" s="28" t="s">
        <v>52</v>
      </c>
      <c r="D71" s="18" t="s">
        <v>53</v>
      </c>
      <c r="E71" s="126">
        <v>0.027175925925925926</v>
      </c>
      <c r="F71" s="200"/>
      <c r="G71" s="87"/>
      <c r="H71" s="87">
        <v>63</v>
      </c>
      <c r="I71" s="87">
        <v>54</v>
      </c>
      <c r="J71" s="87"/>
      <c r="K71" s="87"/>
      <c r="L71" s="87"/>
      <c r="M71" s="87">
        <v>95</v>
      </c>
      <c r="N71" s="87"/>
      <c r="O71" s="87"/>
      <c r="P71" s="87"/>
      <c r="Q71" s="87">
        <v>79</v>
      </c>
      <c r="R71" s="87"/>
      <c r="S71" s="87"/>
      <c r="T71" s="87">
        <v>87</v>
      </c>
      <c r="U71" s="87"/>
      <c r="V71" s="88"/>
      <c r="W71" s="113">
        <f t="shared" si="4"/>
        <v>5</v>
      </c>
      <c r="X71" s="128">
        <f t="shared" si="5"/>
        <v>378</v>
      </c>
    </row>
    <row r="72" spans="2:24" ht="15">
      <c r="B72" s="19">
        <v>63</v>
      </c>
      <c r="C72" s="28" t="s">
        <v>31</v>
      </c>
      <c r="D72" s="18" t="s">
        <v>325</v>
      </c>
      <c r="E72" s="126">
        <v>0.04237268518518519</v>
      </c>
      <c r="F72" s="200">
        <v>58</v>
      </c>
      <c r="G72" s="87"/>
      <c r="H72" s="87"/>
      <c r="I72" s="87">
        <v>56</v>
      </c>
      <c r="J72" s="87"/>
      <c r="K72" s="87"/>
      <c r="L72" s="87">
        <v>42</v>
      </c>
      <c r="M72" s="87">
        <v>47</v>
      </c>
      <c r="N72" s="87"/>
      <c r="O72" s="87"/>
      <c r="P72" s="87"/>
      <c r="Q72" s="87"/>
      <c r="R72" s="87"/>
      <c r="S72" s="87"/>
      <c r="T72" s="87"/>
      <c r="U72" s="87">
        <v>69</v>
      </c>
      <c r="V72" s="88">
        <v>88</v>
      </c>
      <c r="W72" s="113">
        <f>COUNT(F72:V72)</f>
        <v>6</v>
      </c>
      <c r="X72" s="128">
        <f>IF(W72&lt;7,SUM(F72:V72),SUM(LARGE(F72:V72,1),LARGE(F72:V72,2),LARGE(F72:V72,3),LARGE(F72:V72,4),LARGE(F72:V72,5),LARGE(F72:V72,6),LARGE(F72:V72,7)))</f>
        <v>360</v>
      </c>
    </row>
    <row r="73" spans="2:24" ht="15">
      <c r="B73" s="19">
        <v>64</v>
      </c>
      <c r="C73" s="28" t="s">
        <v>249</v>
      </c>
      <c r="D73" s="18" t="s">
        <v>210</v>
      </c>
      <c r="E73" s="126">
        <v>0.042951388888888886</v>
      </c>
      <c r="F73" s="200">
        <v>57</v>
      </c>
      <c r="G73" s="87">
        <v>56</v>
      </c>
      <c r="H73" s="87">
        <v>83</v>
      </c>
      <c r="I73" s="87">
        <v>60</v>
      </c>
      <c r="J73" s="87">
        <v>96</v>
      </c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8"/>
      <c r="W73" s="113">
        <f aca="true" t="shared" si="6" ref="W73:W86">COUNT(F73:V73)</f>
        <v>5</v>
      </c>
      <c r="X73" s="128">
        <f aca="true" t="shared" si="7" ref="X73:X86">IF(W73&lt;7,SUM(F73:V73),SUM(LARGE(F73:V73,1),LARGE(F73:V73,2),LARGE(F73:V73,3),LARGE(F73:V73,4),LARGE(F73:V73,5),LARGE(F73:V73,6),LARGE(F73:V73,7)))</f>
        <v>352</v>
      </c>
    </row>
    <row r="74" spans="2:24" ht="15">
      <c r="B74" s="19">
        <v>65</v>
      </c>
      <c r="C74" s="28" t="s">
        <v>187</v>
      </c>
      <c r="D74" s="18" t="s">
        <v>77</v>
      </c>
      <c r="E74" s="126">
        <v>0.0296412037037037</v>
      </c>
      <c r="F74" s="200"/>
      <c r="G74" s="87">
        <v>68</v>
      </c>
      <c r="H74" s="87">
        <v>79</v>
      </c>
      <c r="I74" s="87"/>
      <c r="J74" s="87"/>
      <c r="K74" s="87"/>
      <c r="L74" s="87"/>
      <c r="M74" s="87">
        <v>39</v>
      </c>
      <c r="N74" s="87"/>
      <c r="O74" s="87"/>
      <c r="P74" s="87"/>
      <c r="Q74" s="87"/>
      <c r="R74" s="87"/>
      <c r="S74" s="87"/>
      <c r="T74" s="87">
        <v>83</v>
      </c>
      <c r="U74" s="87">
        <v>72</v>
      </c>
      <c r="V74" s="88"/>
      <c r="W74" s="113">
        <f>COUNT(F74:V74)</f>
        <v>5</v>
      </c>
      <c r="X74" s="128">
        <f>IF(W74&lt;7,SUM(F74:V74),SUM(LARGE(F74:V74,1),LARGE(F74:V74,2),LARGE(F74:V74,3),LARGE(F74:V74,4),LARGE(F74:V74,5),LARGE(F74:V74,6),LARGE(F74:V74,7)))</f>
        <v>341</v>
      </c>
    </row>
    <row r="75" spans="2:24" ht="15">
      <c r="B75" s="19">
        <v>66</v>
      </c>
      <c r="C75" s="28" t="s">
        <v>52</v>
      </c>
      <c r="D75" s="18" t="s">
        <v>122</v>
      </c>
      <c r="E75" s="126">
        <v>0.033796296296296297</v>
      </c>
      <c r="F75" s="200"/>
      <c r="G75" s="87"/>
      <c r="H75" s="87">
        <v>99</v>
      </c>
      <c r="I75" s="87"/>
      <c r="J75" s="87">
        <v>73</v>
      </c>
      <c r="K75" s="87">
        <v>77</v>
      </c>
      <c r="L75" s="87"/>
      <c r="M75" s="87"/>
      <c r="N75" s="87"/>
      <c r="O75" s="87"/>
      <c r="P75" s="87"/>
      <c r="Q75" s="87"/>
      <c r="R75" s="87"/>
      <c r="S75" s="87"/>
      <c r="T75" s="87">
        <v>78</v>
      </c>
      <c r="U75" s="87"/>
      <c r="V75" s="88"/>
      <c r="W75" s="113">
        <f>COUNT(F75:V75)</f>
        <v>4</v>
      </c>
      <c r="X75" s="128">
        <f>IF(W75&lt;7,SUM(F75:V75),SUM(LARGE(F75:V75,1),LARGE(F75:V75,2),LARGE(F75:V75,3),LARGE(F75:V75,4),LARGE(F75:V75,5),LARGE(F75:V75,6),LARGE(F75:V75,7)))</f>
        <v>327</v>
      </c>
    </row>
    <row r="76" spans="2:24" ht="15">
      <c r="B76" s="19">
        <v>67</v>
      </c>
      <c r="C76" s="28" t="s">
        <v>539</v>
      </c>
      <c r="D76" s="18" t="s">
        <v>549</v>
      </c>
      <c r="E76" s="126">
        <v>0.03300925925925926</v>
      </c>
      <c r="F76" s="200"/>
      <c r="G76" s="87"/>
      <c r="H76" s="87"/>
      <c r="I76" s="87">
        <v>61</v>
      </c>
      <c r="J76" s="87"/>
      <c r="K76" s="87"/>
      <c r="L76" s="87"/>
      <c r="M76" s="87"/>
      <c r="N76" s="87"/>
      <c r="O76" s="87">
        <v>65</v>
      </c>
      <c r="P76" s="87"/>
      <c r="Q76" s="87">
        <v>83</v>
      </c>
      <c r="R76" s="87"/>
      <c r="S76" s="87"/>
      <c r="T76" s="87"/>
      <c r="U76" s="87">
        <v>96</v>
      </c>
      <c r="V76" s="88"/>
      <c r="W76" s="113">
        <f>COUNT(F76:V76)</f>
        <v>4</v>
      </c>
      <c r="X76" s="128">
        <f>IF(W76&lt;7,SUM(F76:V76),SUM(LARGE(F76:V76,1),LARGE(F76:V76,2),LARGE(F76:V76,3),LARGE(F76:V76,4),LARGE(F76:V76,5),LARGE(F76:V76,6),LARGE(F76:V76,7)))</f>
        <v>305</v>
      </c>
    </row>
    <row r="77" spans="2:24" ht="15">
      <c r="B77" s="19">
        <v>68</v>
      </c>
      <c r="C77" s="28" t="s">
        <v>73</v>
      </c>
      <c r="D77" s="18" t="s">
        <v>297</v>
      </c>
      <c r="E77" s="126">
        <v>0.037731481481481484</v>
      </c>
      <c r="F77" s="200"/>
      <c r="G77" s="87">
        <v>79</v>
      </c>
      <c r="H77" s="87">
        <v>95</v>
      </c>
      <c r="I77" s="87">
        <v>69</v>
      </c>
      <c r="J77" s="87"/>
      <c r="K77" s="87"/>
      <c r="L77" s="87"/>
      <c r="M77" s="87">
        <v>61</v>
      </c>
      <c r="N77" s="87"/>
      <c r="O77" s="87"/>
      <c r="P77" s="87"/>
      <c r="Q77" s="87"/>
      <c r="R77" s="87"/>
      <c r="S77" s="87"/>
      <c r="T77" s="87"/>
      <c r="U77" s="87"/>
      <c r="V77" s="88"/>
      <c r="W77" s="113">
        <f t="shared" si="6"/>
        <v>4</v>
      </c>
      <c r="X77" s="128">
        <f t="shared" si="7"/>
        <v>304</v>
      </c>
    </row>
    <row r="78" spans="2:24" ht="15">
      <c r="B78" s="19">
        <v>69</v>
      </c>
      <c r="C78" s="28" t="s">
        <v>63</v>
      </c>
      <c r="D78" s="18" t="s">
        <v>91</v>
      </c>
      <c r="E78" s="126">
        <v>0.031226851851851853</v>
      </c>
      <c r="F78" s="200"/>
      <c r="G78" s="87"/>
      <c r="H78" s="87">
        <v>77</v>
      </c>
      <c r="I78" s="87"/>
      <c r="J78" s="87"/>
      <c r="K78" s="87"/>
      <c r="L78" s="87"/>
      <c r="M78" s="87">
        <v>55</v>
      </c>
      <c r="N78" s="87"/>
      <c r="O78" s="87"/>
      <c r="P78" s="87">
        <v>82</v>
      </c>
      <c r="Q78" s="87"/>
      <c r="R78" s="87"/>
      <c r="S78" s="87"/>
      <c r="T78" s="87">
        <v>82</v>
      </c>
      <c r="U78" s="87"/>
      <c r="V78" s="88"/>
      <c r="W78" s="113">
        <f>COUNT(F78:V78)</f>
        <v>4</v>
      </c>
      <c r="X78" s="128">
        <f>IF(W78&lt;7,SUM(F78:V78),SUM(LARGE(F78:V78,1),LARGE(F78:V78,2),LARGE(F78:V78,3),LARGE(F78:V78,4),LARGE(F78:V78,5),LARGE(F78:V78,6),LARGE(F78:V78,7)))</f>
        <v>296</v>
      </c>
    </row>
    <row r="79" spans="2:24" ht="15">
      <c r="B79" s="19">
        <v>70</v>
      </c>
      <c r="C79" s="28" t="s">
        <v>113</v>
      </c>
      <c r="D79" s="18" t="s">
        <v>114</v>
      </c>
      <c r="E79" s="126">
        <v>0.02952546296296296</v>
      </c>
      <c r="F79" s="200"/>
      <c r="G79" s="87"/>
      <c r="H79" s="87"/>
      <c r="I79" s="87"/>
      <c r="J79" s="87"/>
      <c r="K79" s="87"/>
      <c r="L79" s="87">
        <v>50</v>
      </c>
      <c r="M79" s="87">
        <v>71</v>
      </c>
      <c r="N79" s="87"/>
      <c r="O79" s="87">
        <v>76</v>
      </c>
      <c r="P79" s="87"/>
      <c r="Q79" s="87">
        <v>93</v>
      </c>
      <c r="R79" s="87"/>
      <c r="S79" s="87"/>
      <c r="T79" s="87"/>
      <c r="U79" s="87"/>
      <c r="V79" s="88"/>
      <c r="W79" s="113">
        <f>COUNT(F79:V79)</f>
        <v>4</v>
      </c>
      <c r="X79" s="128">
        <f>IF(W79&lt;7,SUM(F79:V79),SUM(LARGE(F79:V79,1),LARGE(F79:V79,2),LARGE(F79:V79,3),LARGE(F79:V79,4),LARGE(F79:V79,5),LARGE(F79:V79,6),LARGE(F79:V79,7)))</f>
        <v>290</v>
      </c>
    </row>
    <row r="80" spans="2:24" ht="15">
      <c r="B80" s="19">
        <v>71</v>
      </c>
      <c r="C80" s="28" t="s">
        <v>33</v>
      </c>
      <c r="D80" s="18" t="s">
        <v>34</v>
      </c>
      <c r="E80" s="126">
        <v>0.02383101851851852</v>
      </c>
      <c r="F80" s="200">
        <v>91</v>
      </c>
      <c r="G80" s="87"/>
      <c r="H80" s="87"/>
      <c r="I80" s="87"/>
      <c r="J80" s="87"/>
      <c r="K80" s="87"/>
      <c r="L80" s="87"/>
      <c r="M80" s="87"/>
      <c r="N80" s="87">
        <v>99</v>
      </c>
      <c r="O80" s="87"/>
      <c r="P80" s="87">
        <v>94</v>
      </c>
      <c r="Q80" s="87"/>
      <c r="R80" s="87"/>
      <c r="S80" s="87"/>
      <c r="T80" s="87"/>
      <c r="U80" s="87"/>
      <c r="V80" s="88"/>
      <c r="W80" s="113">
        <f t="shared" si="6"/>
        <v>3</v>
      </c>
      <c r="X80" s="128">
        <f t="shared" si="7"/>
        <v>284</v>
      </c>
    </row>
    <row r="81" spans="2:24" ht="15">
      <c r="B81" s="19">
        <v>72</v>
      </c>
      <c r="C81" s="28" t="s">
        <v>103</v>
      </c>
      <c r="D81" s="18" t="s">
        <v>151</v>
      </c>
      <c r="E81" s="126">
        <v>0.03685185185185185</v>
      </c>
      <c r="F81" s="200"/>
      <c r="G81" s="87">
        <v>65</v>
      </c>
      <c r="H81" s="87"/>
      <c r="I81" s="87">
        <v>78</v>
      </c>
      <c r="J81" s="87"/>
      <c r="K81" s="87"/>
      <c r="L81" s="87">
        <v>52</v>
      </c>
      <c r="M81" s="87"/>
      <c r="N81" s="87"/>
      <c r="O81" s="87"/>
      <c r="P81" s="87"/>
      <c r="Q81" s="87"/>
      <c r="R81" s="87"/>
      <c r="S81" s="87">
        <v>87</v>
      </c>
      <c r="T81" s="87"/>
      <c r="U81" s="87"/>
      <c r="V81" s="88"/>
      <c r="W81" s="113">
        <f>COUNT(F81:V81)</f>
        <v>4</v>
      </c>
      <c r="X81" s="128">
        <f>IF(W81&lt;7,SUM(F81:V81),SUM(LARGE(F81:V81,1),LARGE(F81:V81,2),LARGE(F81:V81,3),LARGE(F81:V81,4),LARGE(F81:V81,5),LARGE(F81:V81,6),LARGE(F81:V81,7)))</f>
        <v>282</v>
      </c>
    </row>
    <row r="82" spans="2:24" ht="15">
      <c r="B82" s="19">
        <v>73</v>
      </c>
      <c r="C82" s="28" t="s">
        <v>176</v>
      </c>
      <c r="D82" s="18" t="s">
        <v>177</v>
      </c>
      <c r="E82" s="126">
        <v>0.03875</v>
      </c>
      <c r="F82" s="200">
        <v>73</v>
      </c>
      <c r="G82" s="87">
        <v>71</v>
      </c>
      <c r="H82" s="87"/>
      <c r="I82" s="87"/>
      <c r="J82" s="87"/>
      <c r="K82" s="87"/>
      <c r="L82" s="87"/>
      <c r="M82" s="87">
        <v>46</v>
      </c>
      <c r="N82" s="87"/>
      <c r="O82" s="87"/>
      <c r="P82" s="87">
        <v>81</v>
      </c>
      <c r="Q82" s="87"/>
      <c r="R82" s="87"/>
      <c r="S82" s="87"/>
      <c r="T82" s="87"/>
      <c r="U82" s="87"/>
      <c r="V82" s="88"/>
      <c r="W82" s="113">
        <f t="shared" si="6"/>
        <v>4</v>
      </c>
      <c r="X82" s="128">
        <f t="shared" si="7"/>
        <v>271</v>
      </c>
    </row>
    <row r="83" spans="2:24" ht="15">
      <c r="B83" s="19">
        <v>74</v>
      </c>
      <c r="C83" s="28" t="s">
        <v>406</v>
      </c>
      <c r="D83" s="18" t="s">
        <v>582</v>
      </c>
      <c r="E83" s="126">
        <v>0.02952546296296296</v>
      </c>
      <c r="F83" s="200"/>
      <c r="G83" s="87"/>
      <c r="H83" s="87"/>
      <c r="I83" s="87"/>
      <c r="J83" s="87"/>
      <c r="K83" s="87"/>
      <c r="L83" s="87">
        <v>63</v>
      </c>
      <c r="M83" s="87">
        <v>58</v>
      </c>
      <c r="N83" s="87">
        <v>91</v>
      </c>
      <c r="O83" s="87">
        <v>58</v>
      </c>
      <c r="P83" s="87"/>
      <c r="Q83" s="87"/>
      <c r="R83" s="87"/>
      <c r="S83" s="87"/>
      <c r="T83" s="87"/>
      <c r="U83" s="87"/>
      <c r="V83" s="88"/>
      <c r="W83" s="113">
        <f t="shared" si="6"/>
        <v>4</v>
      </c>
      <c r="X83" s="128">
        <f t="shared" si="7"/>
        <v>270</v>
      </c>
    </row>
    <row r="84" spans="2:24" ht="15">
      <c r="B84" s="19">
        <v>75</v>
      </c>
      <c r="C84" s="28" t="s">
        <v>305</v>
      </c>
      <c r="D84" s="18" t="s">
        <v>306</v>
      </c>
      <c r="E84" s="126">
        <v>0.035208333333333335</v>
      </c>
      <c r="F84" s="200"/>
      <c r="G84" s="87"/>
      <c r="H84" s="87"/>
      <c r="I84" s="87"/>
      <c r="J84" s="87">
        <v>59</v>
      </c>
      <c r="K84" s="87">
        <v>96</v>
      </c>
      <c r="L84" s="87">
        <v>48</v>
      </c>
      <c r="M84" s="87"/>
      <c r="N84" s="87"/>
      <c r="O84" s="87">
        <v>66</v>
      </c>
      <c r="P84" s="87"/>
      <c r="Q84" s="87"/>
      <c r="R84" s="87"/>
      <c r="S84" s="87"/>
      <c r="T84" s="87"/>
      <c r="U84" s="87"/>
      <c r="V84" s="88"/>
      <c r="W84" s="113">
        <f t="shared" si="6"/>
        <v>4</v>
      </c>
      <c r="X84" s="128">
        <f t="shared" si="7"/>
        <v>269</v>
      </c>
    </row>
    <row r="85" spans="2:24" ht="15">
      <c r="B85" s="19">
        <v>76</v>
      </c>
      <c r="C85" s="28" t="s">
        <v>366</v>
      </c>
      <c r="D85" s="18" t="s">
        <v>365</v>
      </c>
      <c r="E85" s="126">
        <v>0.036828703703703704</v>
      </c>
      <c r="F85" s="200">
        <v>64</v>
      </c>
      <c r="G85" s="87"/>
      <c r="H85" s="87"/>
      <c r="I85" s="87"/>
      <c r="J85" s="87">
        <v>70</v>
      </c>
      <c r="K85" s="87">
        <v>74</v>
      </c>
      <c r="L85" s="87"/>
      <c r="M85" s="87">
        <v>57</v>
      </c>
      <c r="N85" s="87"/>
      <c r="O85" s="87"/>
      <c r="P85" s="87"/>
      <c r="Q85" s="87"/>
      <c r="R85" s="87"/>
      <c r="S85" s="87"/>
      <c r="T85" s="87"/>
      <c r="U85" s="87"/>
      <c r="V85" s="88"/>
      <c r="W85" s="113">
        <f t="shared" si="6"/>
        <v>4</v>
      </c>
      <c r="X85" s="128">
        <f t="shared" si="7"/>
        <v>265</v>
      </c>
    </row>
    <row r="86" spans="2:24" ht="15">
      <c r="B86" s="19">
        <v>77</v>
      </c>
      <c r="C86" s="28" t="s">
        <v>194</v>
      </c>
      <c r="D86" s="18" t="s">
        <v>145</v>
      </c>
      <c r="E86" s="126">
        <v>0.040625</v>
      </c>
      <c r="F86" s="200">
        <v>60</v>
      </c>
      <c r="G86" s="87">
        <v>57</v>
      </c>
      <c r="H86" s="87"/>
      <c r="I86" s="87">
        <v>55</v>
      </c>
      <c r="J86" s="87"/>
      <c r="K86" s="87"/>
      <c r="L86" s="87"/>
      <c r="M86" s="87"/>
      <c r="N86" s="87"/>
      <c r="O86" s="87">
        <v>80</v>
      </c>
      <c r="P86" s="87"/>
      <c r="Q86" s="87"/>
      <c r="R86" s="87"/>
      <c r="S86" s="87"/>
      <c r="T86" s="87"/>
      <c r="U86" s="87"/>
      <c r="V86" s="88"/>
      <c r="W86" s="113">
        <f t="shared" si="6"/>
        <v>4</v>
      </c>
      <c r="X86" s="128">
        <f t="shared" si="7"/>
        <v>252</v>
      </c>
    </row>
    <row r="87" spans="2:24" ht="15">
      <c r="B87" s="19">
        <v>78</v>
      </c>
      <c r="C87" s="28" t="s">
        <v>431</v>
      </c>
      <c r="D87" s="18" t="s">
        <v>432</v>
      </c>
      <c r="E87" s="126">
        <v>0.03335648148148148</v>
      </c>
      <c r="F87" s="200"/>
      <c r="G87" s="87">
        <v>84</v>
      </c>
      <c r="H87" s="87"/>
      <c r="I87" s="87"/>
      <c r="J87" s="87"/>
      <c r="K87" s="87"/>
      <c r="L87" s="87"/>
      <c r="M87" s="87"/>
      <c r="N87" s="87"/>
      <c r="O87" s="87">
        <v>81</v>
      </c>
      <c r="P87" s="87"/>
      <c r="Q87" s="87"/>
      <c r="R87" s="87"/>
      <c r="S87" s="87"/>
      <c r="T87" s="87"/>
      <c r="U87" s="87">
        <v>83</v>
      </c>
      <c r="V87" s="88"/>
      <c r="W87" s="113">
        <f>COUNT(F87:V87)</f>
        <v>3</v>
      </c>
      <c r="X87" s="128">
        <f>IF(W87&lt;7,SUM(F87:V87),SUM(LARGE(F87:V87,1),LARGE(F87:V87,2),LARGE(F87:V87,3),LARGE(F87:V87,4),LARGE(F87:V87,5),LARGE(F87:V87,6),LARGE(F87:V87,7)))</f>
        <v>248</v>
      </c>
    </row>
    <row r="88" spans="2:24" ht="15">
      <c r="B88" s="19">
        <v>79</v>
      </c>
      <c r="C88" s="28" t="s">
        <v>186</v>
      </c>
      <c r="D88" s="18" t="s">
        <v>163</v>
      </c>
      <c r="E88" s="126">
        <v>0.037627314814814815</v>
      </c>
      <c r="F88" s="200"/>
      <c r="G88" s="87">
        <v>96</v>
      </c>
      <c r="H88" s="87"/>
      <c r="I88" s="87">
        <v>76</v>
      </c>
      <c r="J88" s="87"/>
      <c r="K88" s="87"/>
      <c r="L88" s="87">
        <v>70</v>
      </c>
      <c r="M88" s="87"/>
      <c r="N88" s="87"/>
      <c r="O88" s="87"/>
      <c r="P88" s="87"/>
      <c r="Q88" s="87"/>
      <c r="R88" s="87"/>
      <c r="S88" s="87"/>
      <c r="T88" s="87"/>
      <c r="U88" s="87"/>
      <c r="V88" s="88"/>
      <c r="W88" s="113">
        <f aca="true" t="shared" si="8" ref="W88:W112">COUNT(F88:V88)</f>
        <v>3</v>
      </c>
      <c r="X88" s="128">
        <f aca="true" t="shared" si="9" ref="X88:X112">IF(W88&lt;7,SUM(F88:V88),SUM(LARGE(F88:V88,1),LARGE(F88:V88,2),LARGE(F88:V88,3),LARGE(F88:V88,4),LARGE(F88:V88,5),LARGE(F88:V88,6),LARGE(F88:V88,7)))</f>
        <v>242</v>
      </c>
    </row>
    <row r="89" spans="2:24" ht="15">
      <c r="B89" s="19">
        <v>80</v>
      </c>
      <c r="C89" s="28" t="s">
        <v>168</v>
      </c>
      <c r="D89" s="18" t="s">
        <v>371</v>
      </c>
      <c r="E89" s="126">
        <v>0.03795138888888889</v>
      </c>
      <c r="F89" s="200"/>
      <c r="G89" s="87">
        <v>55</v>
      </c>
      <c r="H89" s="87"/>
      <c r="I89" s="87"/>
      <c r="J89" s="87">
        <v>86</v>
      </c>
      <c r="K89" s="87"/>
      <c r="L89" s="87"/>
      <c r="M89" s="87"/>
      <c r="N89" s="87">
        <v>95</v>
      </c>
      <c r="O89" s="87"/>
      <c r="P89" s="87"/>
      <c r="Q89" s="87"/>
      <c r="R89" s="87"/>
      <c r="S89" s="87"/>
      <c r="T89" s="87"/>
      <c r="U89" s="87"/>
      <c r="V89" s="88"/>
      <c r="W89" s="113">
        <f t="shared" si="8"/>
        <v>3</v>
      </c>
      <c r="X89" s="128">
        <f t="shared" si="9"/>
        <v>236</v>
      </c>
    </row>
    <row r="90" spans="2:24" ht="15">
      <c r="B90" s="19">
        <v>81</v>
      </c>
      <c r="C90" s="28" t="s">
        <v>31</v>
      </c>
      <c r="D90" s="18" t="s">
        <v>32</v>
      </c>
      <c r="E90" s="126">
        <v>0.025740740740740745</v>
      </c>
      <c r="F90" s="200"/>
      <c r="G90" s="87"/>
      <c r="H90" s="87"/>
      <c r="I90" s="87">
        <v>87</v>
      </c>
      <c r="J90" s="87"/>
      <c r="K90" s="87">
        <v>70</v>
      </c>
      <c r="L90" s="87"/>
      <c r="M90" s="87"/>
      <c r="N90" s="87"/>
      <c r="O90" s="87">
        <v>78</v>
      </c>
      <c r="P90" s="87"/>
      <c r="Q90" s="87"/>
      <c r="R90" s="87"/>
      <c r="S90" s="87"/>
      <c r="T90" s="87"/>
      <c r="U90" s="87"/>
      <c r="V90" s="88"/>
      <c r="W90" s="113">
        <f t="shared" si="8"/>
        <v>3</v>
      </c>
      <c r="X90" s="128">
        <f t="shared" si="9"/>
        <v>235</v>
      </c>
    </row>
    <row r="91" spans="2:24" ht="15">
      <c r="B91" s="19">
        <v>82</v>
      </c>
      <c r="C91" s="28" t="s">
        <v>50</v>
      </c>
      <c r="D91" s="18" t="s">
        <v>51</v>
      </c>
      <c r="E91" s="126">
        <v>0.02667824074074074</v>
      </c>
      <c r="F91" s="200"/>
      <c r="G91" s="87"/>
      <c r="H91" s="87">
        <v>85</v>
      </c>
      <c r="I91" s="87"/>
      <c r="J91" s="87"/>
      <c r="K91" s="87"/>
      <c r="L91" s="87">
        <v>81</v>
      </c>
      <c r="M91" s="87">
        <v>68</v>
      </c>
      <c r="N91" s="87"/>
      <c r="O91" s="87"/>
      <c r="P91" s="87"/>
      <c r="Q91" s="87"/>
      <c r="R91" s="87"/>
      <c r="S91" s="87"/>
      <c r="T91" s="87"/>
      <c r="U91" s="87"/>
      <c r="V91" s="88"/>
      <c r="W91" s="113">
        <f t="shared" si="8"/>
        <v>3</v>
      </c>
      <c r="X91" s="128">
        <f t="shared" si="9"/>
        <v>234</v>
      </c>
    </row>
    <row r="92" spans="2:24" ht="15">
      <c r="B92" s="19">
        <v>83</v>
      </c>
      <c r="C92" s="28" t="s">
        <v>399</v>
      </c>
      <c r="D92" s="18" t="s">
        <v>400</v>
      </c>
      <c r="E92" s="126">
        <v>0.0265625</v>
      </c>
      <c r="F92" s="200">
        <v>92</v>
      </c>
      <c r="G92" s="87"/>
      <c r="H92" s="87"/>
      <c r="I92" s="87"/>
      <c r="J92" s="87"/>
      <c r="K92" s="87"/>
      <c r="L92" s="87">
        <v>41</v>
      </c>
      <c r="M92" s="87">
        <v>99</v>
      </c>
      <c r="N92" s="87"/>
      <c r="O92" s="87"/>
      <c r="P92" s="87"/>
      <c r="Q92" s="87"/>
      <c r="R92" s="87"/>
      <c r="S92" s="87"/>
      <c r="T92" s="87"/>
      <c r="U92" s="87"/>
      <c r="V92" s="88"/>
      <c r="W92" s="113">
        <f t="shared" si="8"/>
        <v>3</v>
      </c>
      <c r="X92" s="128">
        <f t="shared" si="9"/>
        <v>232</v>
      </c>
    </row>
    <row r="93" spans="2:24" ht="15">
      <c r="B93" s="19">
        <v>84</v>
      </c>
      <c r="C93" s="28" t="s">
        <v>517</v>
      </c>
      <c r="D93" s="18" t="s">
        <v>516</v>
      </c>
      <c r="E93" s="126">
        <v>0.03128472222222222</v>
      </c>
      <c r="F93" s="200"/>
      <c r="G93" s="87"/>
      <c r="H93" s="87"/>
      <c r="I93" s="87"/>
      <c r="J93" s="87"/>
      <c r="K93" s="87"/>
      <c r="L93" s="87"/>
      <c r="M93" s="87">
        <v>66</v>
      </c>
      <c r="N93" s="87"/>
      <c r="O93" s="87"/>
      <c r="P93" s="87"/>
      <c r="Q93" s="87"/>
      <c r="R93" s="87"/>
      <c r="S93" s="87"/>
      <c r="T93" s="87">
        <v>80</v>
      </c>
      <c r="U93" s="87">
        <v>79</v>
      </c>
      <c r="V93" s="88"/>
      <c r="W93" s="113">
        <f>COUNT(F93:V93)</f>
        <v>3</v>
      </c>
      <c r="X93" s="128">
        <f>IF(W93&lt;7,SUM(F93:V93),SUM(LARGE(F93:V93,1),LARGE(F93:V93,2),LARGE(F93:V93,3),LARGE(F93:V93,4),LARGE(F93:V93,5),LARGE(F93:V93,6),LARGE(F93:V93,7)))</f>
        <v>225</v>
      </c>
    </row>
    <row r="94" spans="2:24" ht="15">
      <c r="B94" s="19">
        <v>85</v>
      </c>
      <c r="C94" s="28" t="s">
        <v>519</v>
      </c>
      <c r="D94" s="18" t="s">
        <v>156</v>
      </c>
      <c r="E94" s="126">
        <v>0.03469907407407408</v>
      </c>
      <c r="F94" s="200"/>
      <c r="G94" s="87">
        <v>54</v>
      </c>
      <c r="H94" s="87"/>
      <c r="I94" s="87"/>
      <c r="J94" s="87"/>
      <c r="K94" s="87"/>
      <c r="L94" s="87"/>
      <c r="M94" s="87">
        <v>94</v>
      </c>
      <c r="N94" s="87"/>
      <c r="O94" s="87"/>
      <c r="P94" s="87"/>
      <c r="Q94" s="87"/>
      <c r="R94" s="87"/>
      <c r="S94" s="87"/>
      <c r="T94" s="87">
        <v>65</v>
      </c>
      <c r="U94" s="87"/>
      <c r="V94" s="88"/>
      <c r="W94" s="113">
        <f>COUNT(F94:V94)</f>
        <v>3</v>
      </c>
      <c r="X94" s="128">
        <f>IF(W94&lt;7,SUM(F94:V94),SUM(LARGE(F94:V94,1),LARGE(F94:V94,2),LARGE(F94:V94,3),LARGE(F94:V94,4),LARGE(F94:V94,5),LARGE(F94:V94,6),LARGE(F94:V94,7)))</f>
        <v>213</v>
      </c>
    </row>
    <row r="95" spans="2:24" ht="15">
      <c r="B95" s="19">
        <v>86</v>
      </c>
      <c r="C95" s="28" t="s">
        <v>224</v>
      </c>
      <c r="D95" s="18" t="s">
        <v>38</v>
      </c>
      <c r="E95" s="126">
        <v>0.033379629629629634</v>
      </c>
      <c r="F95" s="200">
        <v>67</v>
      </c>
      <c r="G95" s="87"/>
      <c r="H95" s="87"/>
      <c r="I95" s="87">
        <v>82</v>
      </c>
      <c r="J95" s="87">
        <v>56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8"/>
      <c r="W95" s="113">
        <f t="shared" si="8"/>
        <v>3</v>
      </c>
      <c r="X95" s="128">
        <f t="shared" si="9"/>
        <v>205</v>
      </c>
    </row>
    <row r="96" spans="2:24" ht="15">
      <c r="B96" s="19">
        <v>87</v>
      </c>
      <c r="C96" s="28" t="s">
        <v>381</v>
      </c>
      <c r="D96" s="18" t="s">
        <v>200</v>
      </c>
      <c r="E96" s="126">
        <v>0.043020833333333335</v>
      </c>
      <c r="F96" s="200"/>
      <c r="G96" s="87"/>
      <c r="H96" s="87"/>
      <c r="I96" s="87">
        <v>84</v>
      </c>
      <c r="J96" s="87"/>
      <c r="K96" s="87">
        <v>61</v>
      </c>
      <c r="L96" s="87">
        <v>51</v>
      </c>
      <c r="M96" s="87"/>
      <c r="N96" s="87"/>
      <c r="O96" s="87"/>
      <c r="P96" s="87"/>
      <c r="Q96" s="87"/>
      <c r="R96" s="87"/>
      <c r="S96" s="87"/>
      <c r="T96" s="87"/>
      <c r="U96" s="87"/>
      <c r="V96" s="88"/>
      <c r="W96" s="113">
        <f t="shared" si="8"/>
        <v>3</v>
      </c>
      <c r="X96" s="128">
        <f t="shared" si="9"/>
        <v>196</v>
      </c>
    </row>
    <row r="97" spans="2:24" ht="15">
      <c r="B97" s="19">
        <v>88</v>
      </c>
      <c r="C97" s="28" t="s">
        <v>48</v>
      </c>
      <c r="D97" s="18" t="s">
        <v>49</v>
      </c>
      <c r="E97" s="126">
        <v>0.025300925925925925</v>
      </c>
      <c r="F97" s="200"/>
      <c r="G97" s="87"/>
      <c r="H97" s="87"/>
      <c r="I97" s="87">
        <v>94</v>
      </c>
      <c r="J97" s="87"/>
      <c r="K97" s="87"/>
      <c r="L97" s="87">
        <v>99</v>
      </c>
      <c r="M97" s="87"/>
      <c r="N97" s="87"/>
      <c r="O97" s="87"/>
      <c r="P97" s="87"/>
      <c r="Q97" s="87"/>
      <c r="R97" s="87"/>
      <c r="S97" s="87"/>
      <c r="T97" s="87"/>
      <c r="U97" s="87"/>
      <c r="V97" s="88"/>
      <c r="W97" s="113">
        <f t="shared" si="8"/>
        <v>2</v>
      </c>
      <c r="X97" s="128">
        <f t="shared" si="9"/>
        <v>193</v>
      </c>
    </row>
    <row r="98" spans="2:24" ht="15">
      <c r="B98" s="19">
        <v>89</v>
      </c>
      <c r="C98" s="28" t="s">
        <v>218</v>
      </c>
      <c r="D98" s="18" t="s">
        <v>232</v>
      </c>
      <c r="E98" s="126">
        <v>0.025706018518518517</v>
      </c>
      <c r="F98" s="200"/>
      <c r="G98" s="87"/>
      <c r="H98" s="87"/>
      <c r="I98" s="87"/>
      <c r="J98" s="87">
        <v>97</v>
      </c>
      <c r="K98" s="87"/>
      <c r="L98" s="87"/>
      <c r="M98" s="87"/>
      <c r="N98" s="87"/>
      <c r="O98" s="87"/>
      <c r="P98" s="87">
        <v>92</v>
      </c>
      <c r="Q98" s="87"/>
      <c r="R98" s="87"/>
      <c r="S98" s="87"/>
      <c r="T98" s="87"/>
      <c r="U98" s="87"/>
      <c r="V98" s="88"/>
      <c r="W98" s="113">
        <f t="shared" si="8"/>
        <v>2</v>
      </c>
      <c r="X98" s="128">
        <f t="shared" si="9"/>
        <v>189</v>
      </c>
    </row>
    <row r="99" spans="2:24" ht="15">
      <c r="B99" s="19">
        <v>90</v>
      </c>
      <c r="C99" s="28" t="s">
        <v>69</v>
      </c>
      <c r="D99" s="18" t="s">
        <v>70</v>
      </c>
      <c r="E99" s="126">
        <v>0.029247685185185186</v>
      </c>
      <c r="F99" s="200"/>
      <c r="G99" s="87"/>
      <c r="H99" s="87"/>
      <c r="I99" s="87">
        <v>50</v>
      </c>
      <c r="J99" s="87"/>
      <c r="K99" s="87"/>
      <c r="L99" s="87">
        <v>44</v>
      </c>
      <c r="M99" s="87">
        <v>93</v>
      </c>
      <c r="N99" s="87"/>
      <c r="O99" s="87"/>
      <c r="P99" s="87"/>
      <c r="Q99" s="87"/>
      <c r="R99" s="87"/>
      <c r="S99" s="87"/>
      <c r="T99" s="87"/>
      <c r="U99" s="87"/>
      <c r="V99" s="88"/>
      <c r="W99" s="113">
        <f t="shared" si="8"/>
        <v>3</v>
      </c>
      <c r="X99" s="128">
        <f t="shared" si="9"/>
        <v>187</v>
      </c>
    </row>
    <row r="100" spans="2:24" ht="15">
      <c r="B100" s="19">
        <v>91</v>
      </c>
      <c r="C100" s="28" t="s">
        <v>229</v>
      </c>
      <c r="D100" s="18" t="s">
        <v>195</v>
      </c>
      <c r="E100" s="126">
        <v>0.038483796296296294</v>
      </c>
      <c r="F100" s="200">
        <v>90</v>
      </c>
      <c r="G100" s="87">
        <v>95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8"/>
      <c r="W100" s="113">
        <f t="shared" si="8"/>
        <v>2</v>
      </c>
      <c r="X100" s="128">
        <f t="shared" si="9"/>
        <v>185</v>
      </c>
    </row>
    <row r="101" spans="2:24" ht="15">
      <c r="B101" s="19">
        <v>92</v>
      </c>
      <c r="C101" s="28" t="s">
        <v>107</v>
      </c>
      <c r="D101" s="18" t="s">
        <v>108</v>
      </c>
      <c r="E101" s="126">
        <v>0.032650462962962964</v>
      </c>
      <c r="F101" s="200">
        <v>59</v>
      </c>
      <c r="G101" s="87">
        <v>73</v>
      </c>
      <c r="H101" s="87"/>
      <c r="I101" s="87"/>
      <c r="J101" s="87">
        <v>45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8"/>
      <c r="W101" s="113">
        <f t="shared" si="8"/>
        <v>3</v>
      </c>
      <c r="X101" s="128">
        <f t="shared" si="9"/>
        <v>177</v>
      </c>
    </row>
    <row r="102" spans="2:24" ht="15">
      <c r="B102" s="19">
        <v>93</v>
      </c>
      <c r="C102" s="28" t="s">
        <v>225</v>
      </c>
      <c r="D102" s="18" t="s">
        <v>174</v>
      </c>
      <c r="E102" s="126">
        <v>0.03918981481481481</v>
      </c>
      <c r="F102" s="200"/>
      <c r="G102" s="87"/>
      <c r="H102" s="87"/>
      <c r="I102" s="87"/>
      <c r="J102" s="87">
        <v>81</v>
      </c>
      <c r="K102" s="87"/>
      <c r="L102" s="87">
        <v>92</v>
      </c>
      <c r="M102" s="87"/>
      <c r="N102" s="87"/>
      <c r="O102" s="87"/>
      <c r="P102" s="87"/>
      <c r="Q102" s="87"/>
      <c r="R102" s="87"/>
      <c r="S102" s="87"/>
      <c r="T102" s="87"/>
      <c r="U102" s="87"/>
      <c r="V102" s="88"/>
      <c r="W102" s="113">
        <f t="shared" si="8"/>
        <v>2</v>
      </c>
      <c r="X102" s="128">
        <f t="shared" si="9"/>
        <v>173</v>
      </c>
    </row>
    <row r="103" spans="2:24" ht="15">
      <c r="B103" s="19">
        <v>94</v>
      </c>
      <c r="C103" s="28" t="s">
        <v>52</v>
      </c>
      <c r="D103" s="18" t="s">
        <v>178</v>
      </c>
      <c r="E103" s="126">
        <v>0.03868055555555556</v>
      </c>
      <c r="F103" s="200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>
        <v>70</v>
      </c>
      <c r="T103" s="87"/>
      <c r="U103" s="87"/>
      <c r="V103" s="88">
        <v>100</v>
      </c>
      <c r="W103" s="113">
        <f>COUNT(F103:V103)</f>
        <v>2</v>
      </c>
      <c r="X103" s="128">
        <f>IF(W103&lt;7,SUM(F103:V103),SUM(LARGE(F103:V103,1),LARGE(F103:V103,2),LARGE(F103:V103,3),LARGE(F103:V103,4),LARGE(F103:V103,5),LARGE(F103:V103,6),LARGE(F103:V103,7)))</f>
        <v>170</v>
      </c>
    </row>
    <row r="104" spans="2:24" ht="15">
      <c r="B104" s="19">
        <v>95</v>
      </c>
      <c r="C104" s="28" t="s">
        <v>73</v>
      </c>
      <c r="D104" s="18" t="s">
        <v>74</v>
      </c>
      <c r="E104" s="126">
        <v>0.02981481481481481</v>
      </c>
      <c r="F104" s="200"/>
      <c r="G104" s="87"/>
      <c r="H104" s="87">
        <v>71</v>
      </c>
      <c r="I104" s="87"/>
      <c r="J104" s="87"/>
      <c r="K104" s="87"/>
      <c r="L104" s="87"/>
      <c r="M104" s="87">
        <v>85</v>
      </c>
      <c r="N104" s="87"/>
      <c r="O104" s="87"/>
      <c r="P104" s="87"/>
      <c r="Q104" s="87"/>
      <c r="R104" s="87"/>
      <c r="S104" s="87"/>
      <c r="T104" s="87"/>
      <c r="U104" s="87"/>
      <c r="V104" s="88"/>
      <c r="W104" s="113">
        <f t="shared" si="8"/>
        <v>2</v>
      </c>
      <c r="X104" s="128">
        <f t="shared" si="9"/>
        <v>156</v>
      </c>
    </row>
    <row r="105" spans="2:24" ht="15">
      <c r="B105" s="19">
        <v>96</v>
      </c>
      <c r="C105" s="28" t="s">
        <v>521</v>
      </c>
      <c r="D105" s="18" t="s">
        <v>145</v>
      </c>
      <c r="E105" s="126">
        <v>0.03819444444444444</v>
      </c>
      <c r="F105" s="200">
        <v>50</v>
      </c>
      <c r="G105" s="87">
        <v>51</v>
      </c>
      <c r="H105" s="87"/>
      <c r="I105" s="87"/>
      <c r="J105" s="87"/>
      <c r="K105" s="87"/>
      <c r="L105" s="87"/>
      <c r="M105" s="87"/>
      <c r="N105" s="87"/>
      <c r="O105" s="87">
        <v>52</v>
      </c>
      <c r="P105" s="87"/>
      <c r="Q105" s="87"/>
      <c r="R105" s="87"/>
      <c r="S105" s="87"/>
      <c r="T105" s="87"/>
      <c r="U105" s="87"/>
      <c r="V105" s="88"/>
      <c r="W105" s="113">
        <f t="shared" si="8"/>
        <v>3</v>
      </c>
      <c r="X105" s="128">
        <f t="shared" si="9"/>
        <v>153</v>
      </c>
    </row>
    <row r="106" spans="2:24" ht="15">
      <c r="B106" s="19">
        <v>97</v>
      </c>
      <c r="C106" s="28" t="s">
        <v>316</v>
      </c>
      <c r="D106" s="18" t="s">
        <v>351</v>
      </c>
      <c r="E106" s="126">
        <v>0.030115740740740738</v>
      </c>
      <c r="F106" s="200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>
        <v>74</v>
      </c>
      <c r="T106" s="87">
        <v>70</v>
      </c>
      <c r="U106" s="87"/>
      <c r="V106" s="88"/>
      <c r="W106" s="113">
        <f>COUNT(F106:V106)</f>
        <v>2</v>
      </c>
      <c r="X106" s="128">
        <f>IF(W106&lt;7,SUM(F106:V106),SUM(LARGE(F106:V106,1),LARGE(F106:V106,2),LARGE(F106:V106,3),LARGE(F106:V106,4),LARGE(F106:V106,5),LARGE(F106:V106,6),LARGE(F106:V106,7)))</f>
        <v>144</v>
      </c>
    </row>
    <row r="107" spans="2:24" ht="15">
      <c r="B107" s="19" t="s">
        <v>680</v>
      </c>
      <c r="C107" s="28" t="s">
        <v>213</v>
      </c>
      <c r="D107" s="18" t="s">
        <v>212</v>
      </c>
      <c r="E107" s="126">
        <v>0.0433912037037037</v>
      </c>
      <c r="F107" s="200"/>
      <c r="G107" s="87"/>
      <c r="H107" s="87"/>
      <c r="I107" s="87"/>
      <c r="J107" s="87"/>
      <c r="K107" s="87">
        <v>59</v>
      </c>
      <c r="L107" s="87">
        <v>79</v>
      </c>
      <c r="M107" s="87"/>
      <c r="N107" s="87"/>
      <c r="O107" s="87"/>
      <c r="P107" s="87"/>
      <c r="Q107" s="87"/>
      <c r="R107" s="87"/>
      <c r="S107" s="87"/>
      <c r="T107" s="87"/>
      <c r="U107" s="87"/>
      <c r="V107" s="88"/>
      <c r="W107" s="113">
        <f t="shared" si="8"/>
        <v>2</v>
      </c>
      <c r="X107" s="128">
        <f t="shared" si="9"/>
        <v>138</v>
      </c>
    </row>
    <row r="108" spans="2:24" ht="15">
      <c r="B108" s="19" t="s">
        <v>680</v>
      </c>
      <c r="C108" s="28" t="s">
        <v>183</v>
      </c>
      <c r="D108" s="18" t="s">
        <v>184</v>
      </c>
      <c r="E108" s="126">
        <v>0.03863425925925926</v>
      </c>
      <c r="F108" s="200">
        <v>56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8">
        <v>82</v>
      </c>
      <c r="W108" s="113">
        <f>COUNT(F108:V108)</f>
        <v>2</v>
      </c>
      <c r="X108" s="128">
        <f>IF(W108&lt;7,SUM(F108:V108),SUM(LARGE(F108:V108,1),LARGE(F108:V108,2),LARGE(F108:V108,3),LARGE(F108:V108,4),LARGE(F108:V108,5),LARGE(F108:V108,6),LARGE(F108:V108,7)))</f>
        <v>138</v>
      </c>
    </row>
    <row r="109" spans="2:24" ht="15">
      <c r="B109" s="19">
        <v>100</v>
      </c>
      <c r="C109" s="28" t="s">
        <v>367</v>
      </c>
      <c r="D109" s="18" t="s">
        <v>167</v>
      </c>
      <c r="E109" s="126">
        <v>0.03629629629629629</v>
      </c>
      <c r="F109" s="200">
        <v>71</v>
      </c>
      <c r="G109" s="87">
        <v>62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8"/>
      <c r="W109" s="113">
        <f t="shared" si="8"/>
        <v>2</v>
      </c>
      <c r="X109" s="128">
        <f t="shared" si="9"/>
        <v>133</v>
      </c>
    </row>
    <row r="110" spans="2:24" ht="15">
      <c r="B110" s="19">
        <v>101</v>
      </c>
      <c r="C110" s="28" t="s">
        <v>191</v>
      </c>
      <c r="D110" s="18" t="s">
        <v>192</v>
      </c>
      <c r="E110" s="126">
        <v>0.04164351851851852</v>
      </c>
      <c r="F110" s="200"/>
      <c r="G110" s="87"/>
      <c r="H110" s="87"/>
      <c r="I110" s="87"/>
      <c r="J110" s="87"/>
      <c r="K110" s="87"/>
      <c r="L110" s="87"/>
      <c r="M110" s="87">
        <v>59</v>
      </c>
      <c r="N110" s="87"/>
      <c r="O110" s="87"/>
      <c r="P110" s="87"/>
      <c r="Q110" s="87"/>
      <c r="R110" s="87"/>
      <c r="S110" s="87">
        <v>71</v>
      </c>
      <c r="T110" s="87"/>
      <c r="U110" s="87"/>
      <c r="V110" s="88"/>
      <c r="W110" s="113">
        <f>COUNT(F110:V110)</f>
        <v>2</v>
      </c>
      <c r="X110" s="128">
        <f>IF(W110&lt;7,SUM(F110:V110),SUM(LARGE(F110:V110,1),LARGE(F110:V110,2),LARGE(F110:V110,3),LARGE(F110:V110,4),LARGE(F110:V110,5),LARGE(F110:V110,6),LARGE(F110:V110,7)))</f>
        <v>130</v>
      </c>
    </row>
    <row r="111" spans="2:24" ht="15">
      <c r="B111" s="19" t="s">
        <v>640</v>
      </c>
      <c r="C111" s="28" t="s">
        <v>342</v>
      </c>
      <c r="D111" s="18" t="s">
        <v>106</v>
      </c>
      <c r="E111" s="126">
        <v>0.030567129629629628</v>
      </c>
      <c r="F111" s="200"/>
      <c r="G111" s="87"/>
      <c r="H111" s="87">
        <v>67</v>
      </c>
      <c r="I111" s="87">
        <v>59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8"/>
      <c r="W111" s="113">
        <f t="shared" si="8"/>
        <v>2</v>
      </c>
      <c r="X111" s="128">
        <f t="shared" si="9"/>
        <v>126</v>
      </c>
    </row>
    <row r="112" spans="2:24" ht="15">
      <c r="B112" s="19" t="s">
        <v>640</v>
      </c>
      <c r="C112" s="28" t="s">
        <v>187</v>
      </c>
      <c r="D112" s="18" t="s">
        <v>248</v>
      </c>
      <c r="E112" s="126">
        <v>0.03140046296296296</v>
      </c>
      <c r="F112" s="200"/>
      <c r="G112" s="87"/>
      <c r="H112" s="87"/>
      <c r="I112" s="87"/>
      <c r="J112" s="87">
        <v>57</v>
      </c>
      <c r="K112" s="87"/>
      <c r="L112" s="87"/>
      <c r="M112" s="87">
        <v>69</v>
      </c>
      <c r="N112" s="87"/>
      <c r="O112" s="87"/>
      <c r="P112" s="87"/>
      <c r="Q112" s="87"/>
      <c r="R112" s="87"/>
      <c r="S112" s="87"/>
      <c r="T112" s="87"/>
      <c r="U112" s="87"/>
      <c r="V112" s="88"/>
      <c r="W112" s="113">
        <f t="shared" si="8"/>
        <v>2</v>
      </c>
      <c r="X112" s="128">
        <f t="shared" si="9"/>
        <v>126</v>
      </c>
    </row>
    <row r="113" spans="2:24" ht="15">
      <c r="B113" s="19" t="s">
        <v>681</v>
      </c>
      <c r="C113" s="28" t="s">
        <v>187</v>
      </c>
      <c r="D113" s="18" t="s">
        <v>553</v>
      </c>
      <c r="E113" s="126">
        <v>0.024652777777777777</v>
      </c>
      <c r="F113" s="200"/>
      <c r="G113" s="87"/>
      <c r="H113" s="87"/>
      <c r="I113" s="87"/>
      <c r="J113" s="87"/>
      <c r="K113" s="87"/>
      <c r="L113" s="87">
        <v>100</v>
      </c>
      <c r="M113" s="87"/>
      <c r="N113" s="87"/>
      <c r="O113" s="87"/>
      <c r="P113" s="87"/>
      <c r="Q113" s="87"/>
      <c r="R113" s="87"/>
      <c r="S113" s="87"/>
      <c r="T113" s="87"/>
      <c r="U113" s="87"/>
      <c r="V113" s="88"/>
      <c r="W113" s="113">
        <f aca="true" t="shared" si="10" ref="W113:W147">COUNT(F113:V113)</f>
        <v>1</v>
      </c>
      <c r="X113" s="128">
        <f aca="true" t="shared" si="11" ref="X113:X147">IF(W113&lt;7,SUM(F113:V113),SUM(LARGE(F113:V113,1),LARGE(F113:V113,2),LARGE(F113:V113,3),LARGE(F113:V113,4),LARGE(F113:V113,5),LARGE(F113:V113,6),LARGE(F113:V113,7)))</f>
        <v>100</v>
      </c>
    </row>
    <row r="114" spans="2:24" ht="15">
      <c r="B114" s="19" t="s">
        <v>681</v>
      </c>
      <c r="C114" s="28" t="s">
        <v>43</v>
      </c>
      <c r="D114" s="18" t="s">
        <v>44</v>
      </c>
      <c r="E114" s="126">
        <v>0.02517361111111111</v>
      </c>
      <c r="F114" s="200"/>
      <c r="G114" s="87"/>
      <c r="H114" s="87"/>
      <c r="I114" s="87"/>
      <c r="J114" s="87"/>
      <c r="K114" s="87"/>
      <c r="L114" s="87"/>
      <c r="M114" s="87"/>
      <c r="N114" s="87">
        <v>100</v>
      </c>
      <c r="O114" s="87"/>
      <c r="P114" s="87"/>
      <c r="Q114" s="87"/>
      <c r="R114" s="87"/>
      <c r="S114" s="87"/>
      <c r="T114" s="87"/>
      <c r="U114" s="87"/>
      <c r="V114" s="88"/>
      <c r="W114" s="113">
        <f t="shared" si="10"/>
        <v>1</v>
      </c>
      <c r="X114" s="128">
        <f t="shared" si="11"/>
        <v>100</v>
      </c>
    </row>
    <row r="115" spans="2:24" ht="15">
      <c r="B115" s="19" t="s">
        <v>681</v>
      </c>
      <c r="C115" s="28" t="s">
        <v>568</v>
      </c>
      <c r="D115" s="18" t="s">
        <v>34</v>
      </c>
      <c r="E115" s="126">
        <v>0.028819444444444443</v>
      </c>
      <c r="F115" s="200"/>
      <c r="G115" s="87"/>
      <c r="H115" s="87"/>
      <c r="I115" s="87"/>
      <c r="J115" s="87"/>
      <c r="K115" s="87"/>
      <c r="L115" s="87"/>
      <c r="M115" s="87"/>
      <c r="N115" s="87"/>
      <c r="O115" s="87"/>
      <c r="P115" s="87">
        <v>100</v>
      </c>
      <c r="Q115" s="87"/>
      <c r="R115" s="87"/>
      <c r="S115" s="87"/>
      <c r="T115" s="87"/>
      <c r="U115" s="87"/>
      <c r="V115" s="88"/>
      <c r="W115" s="113">
        <f t="shared" si="10"/>
        <v>1</v>
      </c>
      <c r="X115" s="128">
        <f t="shared" si="11"/>
        <v>100</v>
      </c>
    </row>
    <row r="116" spans="2:24" ht="15">
      <c r="B116" s="19" t="s">
        <v>682</v>
      </c>
      <c r="C116" s="28" t="s">
        <v>54</v>
      </c>
      <c r="D116" s="18" t="s">
        <v>377</v>
      </c>
      <c r="E116" s="126">
        <v>0.025520833333333336</v>
      </c>
      <c r="F116" s="200"/>
      <c r="G116" s="87"/>
      <c r="H116" s="87"/>
      <c r="I116" s="87"/>
      <c r="J116" s="87"/>
      <c r="K116" s="87"/>
      <c r="L116" s="87"/>
      <c r="M116" s="87">
        <v>89</v>
      </c>
      <c r="N116" s="87"/>
      <c r="O116" s="87"/>
      <c r="P116" s="87"/>
      <c r="Q116" s="87"/>
      <c r="R116" s="87"/>
      <c r="S116" s="87"/>
      <c r="T116" s="87"/>
      <c r="U116" s="87"/>
      <c r="V116" s="88"/>
      <c r="W116" s="113">
        <f t="shared" si="10"/>
        <v>1</v>
      </c>
      <c r="X116" s="128">
        <f t="shared" si="11"/>
        <v>89</v>
      </c>
    </row>
    <row r="117" spans="2:24" ht="15">
      <c r="B117" s="19" t="s">
        <v>682</v>
      </c>
      <c r="C117" s="28" t="s">
        <v>558</v>
      </c>
      <c r="D117" s="18" t="s">
        <v>557</v>
      </c>
      <c r="E117" s="126">
        <v>0.03305555555555555</v>
      </c>
      <c r="F117" s="200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>
        <v>89</v>
      </c>
      <c r="R117" s="87"/>
      <c r="S117" s="87"/>
      <c r="T117" s="87"/>
      <c r="U117" s="87"/>
      <c r="V117" s="88"/>
      <c r="W117" s="113">
        <f>COUNT(F117:V117)</f>
        <v>1</v>
      </c>
      <c r="X117" s="128">
        <f>IF(W117&lt;7,SUM(F117:V117),SUM(LARGE(F117:V117,1),LARGE(F117:V117,2),LARGE(F117:V117,3),LARGE(F117:V117,4),LARGE(F117:V117,5),LARGE(F117:V117,6),LARGE(F117:V117,7)))</f>
        <v>89</v>
      </c>
    </row>
    <row r="118" spans="2:24" ht="15">
      <c r="B118" s="19">
        <v>109</v>
      </c>
      <c r="C118" s="28" t="s">
        <v>273</v>
      </c>
      <c r="D118" s="18" t="s">
        <v>272</v>
      </c>
      <c r="E118" s="126">
        <v>0.026585648148148146</v>
      </c>
      <c r="F118" s="200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>
        <v>87</v>
      </c>
      <c r="V118" s="88"/>
      <c r="W118" s="113">
        <f>COUNT(F118:V118)</f>
        <v>1</v>
      </c>
      <c r="X118" s="128">
        <f>IF(W118&lt;7,SUM(F118:V118),SUM(LARGE(F118:V118,1),LARGE(F118:V118,2),LARGE(F118:V118,3),LARGE(F118:V118,4),LARGE(F118:V118,5),LARGE(F118:V118,6),LARGE(F118:V118,7)))</f>
        <v>87</v>
      </c>
    </row>
    <row r="119" spans="2:24" ht="15">
      <c r="B119" s="19">
        <v>110</v>
      </c>
      <c r="C119" s="28" t="s">
        <v>223</v>
      </c>
      <c r="D119" s="18" t="s">
        <v>114</v>
      </c>
      <c r="E119" s="126">
        <v>0.03466435185185185</v>
      </c>
      <c r="F119" s="200"/>
      <c r="G119" s="87"/>
      <c r="H119" s="87"/>
      <c r="I119" s="87"/>
      <c r="J119" s="87"/>
      <c r="K119" s="87"/>
      <c r="L119" s="87">
        <v>49</v>
      </c>
      <c r="M119" s="87">
        <v>37</v>
      </c>
      <c r="N119" s="87"/>
      <c r="O119" s="87"/>
      <c r="P119" s="87"/>
      <c r="Q119" s="87"/>
      <c r="R119" s="87"/>
      <c r="S119" s="87"/>
      <c r="T119" s="87"/>
      <c r="U119" s="87"/>
      <c r="V119" s="88"/>
      <c r="W119" s="113">
        <f t="shared" si="10"/>
        <v>2</v>
      </c>
      <c r="X119" s="128">
        <f t="shared" si="11"/>
        <v>86</v>
      </c>
    </row>
    <row r="120" spans="2:24" ht="15">
      <c r="B120" s="19" t="s">
        <v>646</v>
      </c>
      <c r="C120" s="28" t="s">
        <v>61</v>
      </c>
      <c r="D120" s="18" t="s">
        <v>254</v>
      </c>
      <c r="E120" s="126">
        <v>0.041192129629629634</v>
      </c>
      <c r="F120" s="200"/>
      <c r="G120" s="87"/>
      <c r="H120" s="87"/>
      <c r="I120" s="87"/>
      <c r="J120" s="87">
        <v>44</v>
      </c>
      <c r="K120" s="87"/>
      <c r="L120" s="87"/>
      <c r="M120" s="87">
        <v>38</v>
      </c>
      <c r="N120" s="87"/>
      <c r="O120" s="87"/>
      <c r="P120" s="87"/>
      <c r="Q120" s="87"/>
      <c r="R120" s="87"/>
      <c r="S120" s="87"/>
      <c r="T120" s="87"/>
      <c r="U120" s="87"/>
      <c r="V120" s="88"/>
      <c r="W120" s="113">
        <f t="shared" si="10"/>
        <v>2</v>
      </c>
      <c r="X120" s="128">
        <f t="shared" si="11"/>
        <v>82</v>
      </c>
    </row>
    <row r="121" spans="2:24" ht="15">
      <c r="B121" s="19" t="s">
        <v>646</v>
      </c>
      <c r="C121" s="28" t="s">
        <v>339</v>
      </c>
      <c r="D121" s="18" t="s">
        <v>86</v>
      </c>
      <c r="E121" s="126">
        <v>0.030289351851851855</v>
      </c>
      <c r="F121" s="200"/>
      <c r="G121" s="87"/>
      <c r="H121" s="87"/>
      <c r="I121" s="87"/>
      <c r="J121" s="87"/>
      <c r="K121" s="87"/>
      <c r="L121" s="87"/>
      <c r="M121" s="87"/>
      <c r="N121" s="87">
        <v>82</v>
      </c>
      <c r="O121" s="87"/>
      <c r="P121" s="87"/>
      <c r="Q121" s="87"/>
      <c r="R121" s="87"/>
      <c r="S121" s="87"/>
      <c r="T121" s="87"/>
      <c r="U121" s="87"/>
      <c r="V121" s="88"/>
      <c r="W121" s="113">
        <f t="shared" si="10"/>
        <v>1</v>
      </c>
      <c r="X121" s="128">
        <f t="shared" si="11"/>
        <v>82</v>
      </c>
    </row>
    <row r="122" spans="2:24" ht="15">
      <c r="B122" s="19" t="s">
        <v>647</v>
      </c>
      <c r="C122" s="28" t="s">
        <v>408</v>
      </c>
      <c r="D122" s="18" t="s">
        <v>87</v>
      </c>
      <c r="E122" s="126">
        <v>0.028599537037037034</v>
      </c>
      <c r="F122" s="200">
        <v>80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8"/>
      <c r="W122" s="113">
        <f t="shared" si="10"/>
        <v>1</v>
      </c>
      <c r="X122" s="128">
        <f t="shared" si="11"/>
        <v>80</v>
      </c>
    </row>
    <row r="123" spans="2:24" ht="15">
      <c r="B123" s="19" t="s">
        <v>647</v>
      </c>
      <c r="C123" s="28" t="s">
        <v>220</v>
      </c>
      <c r="D123" s="18" t="s">
        <v>122</v>
      </c>
      <c r="E123" s="126">
        <v>0.03248842592592593</v>
      </c>
      <c r="F123" s="200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>
        <v>80</v>
      </c>
      <c r="T123" s="87"/>
      <c r="U123" s="87"/>
      <c r="V123" s="88"/>
      <c r="W123" s="113">
        <f>COUNT(F123:V123)</f>
        <v>1</v>
      </c>
      <c r="X123" s="128">
        <f>IF(W123&lt;7,SUM(F123:V123),SUM(LARGE(F123:V123,1),LARGE(F123:V123,2),LARGE(F123:V123,3),LARGE(F123:V123,4),LARGE(F123:V123,5),LARGE(F123:V123,6),LARGE(F123:V123,7)))</f>
        <v>80</v>
      </c>
    </row>
    <row r="124" spans="2:24" ht="15">
      <c r="B124" s="19" t="s">
        <v>648</v>
      </c>
      <c r="C124" s="28" t="s">
        <v>179</v>
      </c>
      <c r="D124" s="18" t="s">
        <v>180</v>
      </c>
      <c r="E124" s="126">
        <v>0.04111111111111111</v>
      </c>
      <c r="F124" s="200"/>
      <c r="G124" s="87"/>
      <c r="H124" s="87"/>
      <c r="I124" s="87"/>
      <c r="J124" s="87"/>
      <c r="K124" s="87"/>
      <c r="L124" s="87"/>
      <c r="M124" s="87">
        <v>79</v>
      </c>
      <c r="N124" s="87"/>
      <c r="O124" s="87"/>
      <c r="P124" s="87"/>
      <c r="Q124" s="87"/>
      <c r="R124" s="87"/>
      <c r="S124" s="87"/>
      <c r="T124" s="87"/>
      <c r="U124" s="87"/>
      <c r="V124" s="88"/>
      <c r="W124" s="113">
        <f t="shared" si="10"/>
        <v>1</v>
      </c>
      <c r="X124" s="128">
        <f t="shared" si="11"/>
        <v>79</v>
      </c>
    </row>
    <row r="125" spans="2:24" ht="15">
      <c r="B125" s="19" t="s">
        <v>648</v>
      </c>
      <c r="C125" s="28" t="s">
        <v>350</v>
      </c>
      <c r="D125" s="18" t="s">
        <v>72</v>
      </c>
      <c r="E125" s="126">
        <v>0.03072916666666667</v>
      </c>
      <c r="F125" s="200"/>
      <c r="G125" s="87"/>
      <c r="H125" s="87"/>
      <c r="I125" s="87"/>
      <c r="J125" s="87"/>
      <c r="K125" s="87"/>
      <c r="L125" s="87"/>
      <c r="M125" s="87"/>
      <c r="N125" s="87"/>
      <c r="O125" s="87"/>
      <c r="P125" s="87">
        <v>79</v>
      </c>
      <c r="Q125" s="87"/>
      <c r="R125" s="87"/>
      <c r="S125" s="87"/>
      <c r="T125" s="87"/>
      <c r="U125" s="87"/>
      <c r="V125" s="88"/>
      <c r="W125" s="113">
        <f t="shared" si="10"/>
        <v>1</v>
      </c>
      <c r="X125" s="128">
        <f t="shared" si="11"/>
        <v>79</v>
      </c>
    </row>
    <row r="126" spans="2:24" ht="15">
      <c r="B126" s="19">
        <v>117</v>
      </c>
      <c r="C126" s="28" t="s">
        <v>102</v>
      </c>
      <c r="D126" s="18" t="s">
        <v>157</v>
      </c>
      <c r="E126" s="126">
        <v>0.036458333333333336</v>
      </c>
      <c r="F126" s="200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8">
        <v>78</v>
      </c>
      <c r="W126" s="113">
        <f>COUNT(F126:V126)</f>
        <v>1</v>
      </c>
      <c r="X126" s="128">
        <f>IF(W126&lt;7,SUM(F126:V126),SUM(LARGE(F126:V126,1),LARGE(F126:V126,2),LARGE(F126:V126,3),LARGE(F126:V126,4),LARGE(F126:V126,5),LARGE(F126:V126,6),LARGE(F126:V126,7)))</f>
        <v>78</v>
      </c>
    </row>
    <row r="127" spans="2:24" ht="15">
      <c r="B127" s="19" t="s">
        <v>683</v>
      </c>
      <c r="C127" s="28" t="s">
        <v>67</v>
      </c>
      <c r="D127" s="18" t="s">
        <v>68</v>
      </c>
      <c r="E127" s="126">
        <v>0.029212962962962965</v>
      </c>
      <c r="F127" s="200"/>
      <c r="G127" s="87">
        <v>74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8"/>
      <c r="W127" s="113">
        <f t="shared" si="10"/>
        <v>1</v>
      </c>
      <c r="X127" s="128">
        <f t="shared" si="11"/>
        <v>74</v>
      </c>
    </row>
    <row r="128" spans="2:24" ht="15">
      <c r="B128" s="19" t="s">
        <v>683</v>
      </c>
      <c r="C128" s="28" t="s">
        <v>493</v>
      </c>
      <c r="D128" s="18" t="s">
        <v>318</v>
      </c>
      <c r="E128" s="126">
        <v>0.033379629629629634</v>
      </c>
      <c r="F128" s="200"/>
      <c r="G128" s="87"/>
      <c r="H128" s="87"/>
      <c r="I128" s="87">
        <v>74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8"/>
      <c r="W128" s="113">
        <f t="shared" si="10"/>
        <v>1</v>
      </c>
      <c r="X128" s="128">
        <f t="shared" si="11"/>
        <v>74</v>
      </c>
    </row>
    <row r="129" spans="2:24" ht="15">
      <c r="B129" s="19">
        <v>120</v>
      </c>
      <c r="C129" s="28" t="s">
        <v>219</v>
      </c>
      <c r="D129" s="18" t="s">
        <v>508</v>
      </c>
      <c r="E129" s="126">
        <v>0.031157407407407408</v>
      </c>
      <c r="F129" s="200"/>
      <c r="G129" s="87"/>
      <c r="H129" s="87"/>
      <c r="I129" s="87"/>
      <c r="J129" s="87"/>
      <c r="K129" s="87"/>
      <c r="L129" s="87"/>
      <c r="M129" s="87">
        <v>70</v>
      </c>
      <c r="N129" s="87"/>
      <c r="O129" s="87"/>
      <c r="P129" s="87"/>
      <c r="Q129" s="87"/>
      <c r="R129" s="87"/>
      <c r="S129" s="87"/>
      <c r="T129" s="87"/>
      <c r="U129" s="87"/>
      <c r="V129" s="88"/>
      <c r="W129" s="113">
        <f t="shared" si="10"/>
        <v>1</v>
      </c>
      <c r="X129" s="128">
        <f t="shared" si="11"/>
        <v>70</v>
      </c>
    </row>
    <row r="130" spans="2:24" ht="15">
      <c r="B130" s="19">
        <v>121</v>
      </c>
      <c r="C130" s="28" t="s">
        <v>361</v>
      </c>
      <c r="D130" s="18" t="s">
        <v>84</v>
      </c>
      <c r="E130" s="126">
        <v>0.034826388888888886</v>
      </c>
      <c r="F130" s="200"/>
      <c r="G130" s="87"/>
      <c r="H130" s="87"/>
      <c r="I130" s="87"/>
      <c r="J130" s="87">
        <v>69</v>
      </c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8"/>
      <c r="W130" s="113">
        <f t="shared" si="10"/>
        <v>1</v>
      </c>
      <c r="X130" s="128">
        <f t="shared" si="11"/>
        <v>69</v>
      </c>
    </row>
    <row r="131" spans="2:24" ht="15">
      <c r="B131" s="19" t="s">
        <v>684</v>
      </c>
      <c r="C131" s="28" t="s">
        <v>59</v>
      </c>
      <c r="D131" s="18" t="s">
        <v>60</v>
      </c>
      <c r="E131" s="126">
        <v>0.028055555555555556</v>
      </c>
      <c r="F131" s="200"/>
      <c r="G131" s="87"/>
      <c r="H131" s="87"/>
      <c r="I131" s="87"/>
      <c r="J131" s="87"/>
      <c r="K131" s="87"/>
      <c r="L131" s="87">
        <v>67</v>
      </c>
      <c r="M131" s="87"/>
      <c r="N131" s="87"/>
      <c r="O131" s="87"/>
      <c r="P131" s="87"/>
      <c r="Q131" s="87"/>
      <c r="R131" s="87"/>
      <c r="S131" s="87"/>
      <c r="T131" s="87"/>
      <c r="U131" s="87"/>
      <c r="V131" s="88"/>
      <c r="W131" s="113">
        <f t="shared" si="10"/>
        <v>1</v>
      </c>
      <c r="X131" s="128">
        <f t="shared" si="11"/>
        <v>67</v>
      </c>
    </row>
    <row r="132" spans="2:24" ht="15">
      <c r="B132" s="19" t="s">
        <v>684</v>
      </c>
      <c r="C132" s="28" t="s">
        <v>103</v>
      </c>
      <c r="D132" s="18" t="s">
        <v>240</v>
      </c>
      <c r="E132" s="126">
        <v>0.04253472222222222</v>
      </c>
      <c r="F132" s="200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>
        <v>67</v>
      </c>
      <c r="T132" s="87"/>
      <c r="U132" s="87"/>
      <c r="V132" s="88"/>
      <c r="W132" s="113">
        <f>COUNT(F132:V132)</f>
        <v>1</v>
      </c>
      <c r="X132" s="128">
        <f>IF(W132&lt;7,SUM(F132:V132),SUM(LARGE(F132:V132,1),LARGE(F132:V132,2),LARGE(F132:V132,3),LARGE(F132:V132,4),LARGE(F132:V132,5),LARGE(F132:V132,6),LARGE(F132:V132,7)))</f>
        <v>67</v>
      </c>
    </row>
    <row r="133" spans="2:24" ht="15">
      <c r="B133" s="19">
        <v>124</v>
      </c>
      <c r="C133" s="28" t="s">
        <v>61</v>
      </c>
      <c r="D133" s="18" t="s">
        <v>62</v>
      </c>
      <c r="E133" s="126">
        <v>0.029826388888888892</v>
      </c>
      <c r="F133" s="200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>
        <v>64</v>
      </c>
      <c r="U133" s="87"/>
      <c r="V133" s="88"/>
      <c r="W133" s="113">
        <f>COUNT(F133:V133)</f>
        <v>1</v>
      </c>
      <c r="X133" s="128">
        <f>IF(W133&lt;7,SUM(F133:V133),SUM(LARGE(F133:V133,1),LARGE(F133:V133,2),LARGE(F133:V133,3),LARGE(F133:V133,4),LARGE(F133:V133,5),LARGE(F133:V133,6),LARGE(F133:V133,7)))</f>
        <v>64</v>
      </c>
    </row>
    <row r="134" spans="2:24" ht="15">
      <c r="B134" s="19">
        <v>125</v>
      </c>
      <c r="C134" s="28" t="s">
        <v>438</v>
      </c>
      <c r="D134" s="18" t="s">
        <v>93</v>
      </c>
      <c r="E134" s="126">
        <v>0.029826388888888892</v>
      </c>
      <c r="F134" s="200"/>
      <c r="G134" s="87">
        <v>60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8"/>
      <c r="W134" s="113">
        <f t="shared" si="10"/>
        <v>1</v>
      </c>
      <c r="X134" s="128">
        <f t="shared" si="11"/>
        <v>60</v>
      </c>
    </row>
    <row r="135" spans="2:24" ht="15">
      <c r="B135" s="19">
        <v>126</v>
      </c>
      <c r="C135" s="28" t="s">
        <v>352</v>
      </c>
      <c r="D135" s="18" t="s">
        <v>90</v>
      </c>
      <c r="E135" s="126">
        <v>0.030821759259259257</v>
      </c>
      <c r="F135" s="200">
        <v>52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8"/>
      <c r="W135" s="113">
        <f t="shared" si="10"/>
        <v>1</v>
      </c>
      <c r="X135" s="128">
        <f t="shared" si="11"/>
        <v>52</v>
      </c>
    </row>
    <row r="136" spans="2:24" ht="15">
      <c r="B136" s="19" t="s">
        <v>685</v>
      </c>
      <c r="C136" s="28" t="s">
        <v>222</v>
      </c>
      <c r="D136" s="18" t="s">
        <v>221</v>
      </c>
      <c r="E136" s="126">
        <v>0.03363425925925926</v>
      </c>
      <c r="F136" s="200"/>
      <c r="G136" s="87"/>
      <c r="H136" s="87"/>
      <c r="I136" s="87">
        <v>51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8"/>
      <c r="W136" s="113">
        <f t="shared" si="10"/>
        <v>1</v>
      </c>
      <c r="X136" s="128">
        <f t="shared" si="11"/>
        <v>51</v>
      </c>
    </row>
    <row r="137" spans="2:24" ht="15">
      <c r="B137" s="19" t="s">
        <v>685</v>
      </c>
      <c r="C137" s="28" t="s">
        <v>231</v>
      </c>
      <c r="D137" s="18" t="s">
        <v>295</v>
      </c>
      <c r="E137" s="126">
        <v>0.03746527777777778</v>
      </c>
      <c r="F137" s="200">
        <v>51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8"/>
      <c r="W137" s="113">
        <f t="shared" si="10"/>
        <v>1</v>
      </c>
      <c r="X137" s="128">
        <f t="shared" si="11"/>
        <v>51</v>
      </c>
    </row>
    <row r="138" spans="2:24" ht="15">
      <c r="B138" s="19">
        <v>129</v>
      </c>
      <c r="C138" s="28" t="s">
        <v>251</v>
      </c>
      <c r="D138" s="18" t="s">
        <v>250</v>
      </c>
      <c r="E138" s="126">
        <v>0.03483796296296296</v>
      </c>
      <c r="F138" s="200"/>
      <c r="G138" s="87"/>
      <c r="H138" s="87"/>
      <c r="I138" s="87"/>
      <c r="J138" s="87">
        <v>50</v>
      </c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8"/>
      <c r="W138" s="113">
        <f t="shared" si="10"/>
        <v>1</v>
      </c>
      <c r="X138" s="128">
        <f t="shared" si="11"/>
        <v>50</v>
      </c>
    </row>
    <row r="139" spans="2:24" ht="15">
      <c r="B139" s="19">
        <v>130</v>
      </c>
      <c r="C139" s="28" t="s">
        <v>356</v>
      </c>
      <c r="D139" s="18" t="s">
        <v>83</v>
      </c>
      <c r="E139" s="126">
        <v>0.03070601851851852</v>
      </c>
      <c r="F139" s="200"/>
      <c r="G139" s="87"/>
      <c r="H139" s="87"/>
      <c r="I139" s="87"/>
      <c r="J139" s="87">
        <v>49</v>
      </c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8"/>
      <c r="W139" s="113">
        <f t="shared" si="10"/>
        <v>1</v>
      </c>
      <c r="X139" s="128">
        <f t="shared" si="11"/>
        <v>49</v>
      </c>
    </row>
    <row r="140" spans="2:24" ht="15">
      <c r="B140" s="19">
        <v>131</v>
      </c>
      <c r="C140" s="28" t="s">
        <v>414</v>
      </c>
      <c r="D140" s="18" t="s">
        <v>147</v>
      </c>
      <c r="E140" s="126">
        <v>0.035555555555555556</v>
      </c>
      <c r="F140" s="200"/>
      <c r="G140" s="87"/>
      <c r="H140" s="87"/>
      <c r="I140" s="87"/>
      <c r="J140" s="87"/>
      <c r="K140" s="87"/>
      <c r="L140" s="87">
        <v>46</v>
      </c>
      <c r="M140" s="87"/>
      <c r="N140" s="87"/>
      <c r="O140" s="87"/>
      <c r="P140" s="87"/>
      <c r="Q140" s="87"/>
      <c r="R140" s="87"/>
      <c r="S140" s="87"/>
      <c r="T140" s="87"/>
      <c r="U140" s="87"/>
      <c r="V140" s="88"/>
      <c r="W140" s="113">
        <f t="shared" si="10"/>
        <v>1</v>
      </c>
      <c r="X140" s="128">
        <f t="shared" si="11"/>
        <v>46</v>
      </c>
    </row>
    <row r="141" spans="2:24" ht="15">
      <c r="B141" s="19">
        <v>132</v>
      </c>
      <c r="C141" s="28" t="s">
        <v>73</v>
      </c>
      <c r="D141" s="18" t="s">
        <v>143</v>
      </c>
      <c r="E141" s="126">
        <v>0.035659722222222225</v>
      </c>
      <c r="F141" s="200"/>
      <c r="G141" s="87"/>
      <c r="H141" s="87"/>
      <c r="I141" s="87"/>
      <c r="J141" s="87"/>
      <c r="K141" s="87"/>
      <c r="L141" s="87">
        <v>43</v>
      </c>
      <c r="M141" s="87"/>
      <c r="N141" s="87"/>
      <c r="O141" s="87"/>
      <c r="P141" s="87"/>
      <c r="Q141" s="87"/>
      <c r="R141" s="87"/>
      <c r="S141" s="87"/>
      <c r="T141" s="87"/>
      <c r="U141" s="87"/>
      <c r="V141" s="88"/>
      <c r="W141" s="113">
        <f t="shared" si="10"/>
        <v>1</v>
      </c>
      <c r="X141" s="128">
        <f t="shared" si="11"/>
        <v>43</v>
      </c>
    </row>
    <row r="142" spans="2:24" ht="15">
      <c r="B142" s="19" t="s">
        <v>673</v>
      </c>
      <c r="C142" s="28" t="s">
        <v>119</v>
      </c>
      <c r="D142" s="18" t="s">
        <v>120</v>
      </c>
      <c r="E142" s="126">
        <v>0.03298611111111111</v>
      </c>
      <c r="F142" s="200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8"/>
      <c r="W142" s="113">
        <f t="shared" si="10"/>
        <v>0</v>
      </c>
      <c r="X142" s="128">
        <f t="shared" si="11"/>
        <v>0</v>
      </c>
    </row>
    <row r="143" spans="2:24" ht="15">
      <c r="B143" s="19" t="s">
        <v>673</v>
      </c>
      <c r="C143" s="28" t="s">
        <v>267</v>
      </c>
      <c r="D143" s="18" t="s">
        <v>266</v>
      </c>
      <c r="E143" s="126">
        <v>0.04461805555555556</v>
      </c>
      <c r="F143" s="200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8"/>
      <c r="W143" s="113">
        <f t="shared" si="10"/>
        <v>0</v>
      </c>
      <c r="X143" s="128">
        <f t="shared" si="11"/>
        <v>0</v>
      </c>
    </row>
    <row r="144" spans="2:24" ht="15">
      <c r="B144" s="19" t="s">
        <v>673</v>
      </c>
      <c r="C144" s="28" t="s">
        <v>394</v>
      </c>
      <c r="D144" s="18" t="s">
        <v>395</v>
      </c>
      <c r="E144" s="126">
        <v>0.03958333333333333</v>
      </c>
      <c r="F144" s="200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8"/>
      <c r="W144" s="113">
        <f t="shared" si="10"/>
        <v>0</v>
      </c>
      <c r="X144" s="128">
        <f t="shared" si="11"/>
        <v>0</v>
      </c>
    </row>
    <row r="145" spans="2:24" ht="15">
      <c r="B145" s="19" t="s">
        <v>673</v>
      </c>
      <c r="C145" s="28" t="s">
        <v>218</v>
      </c>
      <c r="D145" s="18" t="s">
        <v>210</v>
      </c>
      <c r="E145" s="126">
        <v>0.04375</v>
      </c>
      <c r="F145" s="200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8"/>
      <c r="W145" s="113">
        <f t="shared" si="10"/>
        <v>0</v>
      </c>
      <c r="X145" s="128">
        <f t="shared" si="11"/>
        <v>0</v>
      </c>
    </row>
    <row r="146" spans="2:24" ht="15">
      <c r="B146" s="19" t="s">
        <v>673</v>
      </c>
      <c r="C146" s="28" t="s">
        <v>289</v>
      </c>
      <c r="D146" s="18" t="s">
        <v>135</v>
      </c>
      <c r="E146" s="126">
        <v>0.04097222222222222</v>
      </c>
      <c r="F146" s="200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8"/>
      <c r="W146" s="113">
        <f t="shared" si="10"/>
        <v>0</v>
      </c>
      <c r="X146" s="128">
        <f t="shared" si="11"/>
        <v>0</v>
      </c>
    </row>
    <row r="147" spans="2:24" ht="15">
      <c r="B147" s="19" t="s">
        <v>673</v>
      </c>
      <c r="C147" s="28" t="s">
        <v>194</v>
      </c>
      <c r="D147" s="18" t="s">
        <v>290</v>
      </c>
      <c r="E147" s="126">
        <v>0.044444444444444446</v>
      </c>
      <c r="F147" s="200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8"/>
      <c r="W147" s="113">
        <f t="shared" si="10"/>
        <v>0</v>
      </c>
      <c r="X147" s="128">
        <f t="shared" si="11"/>
        <v>0</v>
      </c>
    </row>
    <row r="148" spans="2:24" ht="15">
      <c r="B148" s="19" t="s">
        <v>673</v>
      </c>
      <c r="C148" s="28" t="s">
        <v>226</v>
      </c>
      <c r="D148" s="18" t="s">
        <v>262</v>
      </c>
      <c r="E148" s="126">
        <v>0.04097222222222222</v>
      </c>
      <c r="F148" s="200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8"/>
      <c r="W148" s="113">
        <f aca="true" t="shared" si="12" ref="W148:W159">COUNT(F148:V148)</f>
        <v>0</v>
      </c>
      <c r="X148" s="128">
        <f aca="true" t="shared" si="13" ref="X148:X159">IF(W148&lt;7,SUM(F148:V148),SUM(LARGE(F148:V148,1),LARGE(F148:V148,2),LARGE(F148:V148,3),LARGE(F148:V148,4),LARGE(F148:V148,5),LARGE(F148:V148,6),LARGE(F148:V148,7)))</f>
        <v>0</v>
      </c>
    </row>
    <row r="149" spans="2:24" ht="15">
      <c r="B149" s="19" t="s">
        <v>673</v>
      </c>
      <c r="C149" s="28" t="s">
        <v>305</v>
      </c>
      <c r="D149" s="18" t="s">
        <v>307</v>
      </c>
      <c r="E149" s="126">
        <v>0.03576388888888889</v>
      </c>
      <c r="F149" s="200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8"/>
      <c r="W149" s="113">
        <f t="shared" si="12"/>
        <v>0</v>
      </c>
      <c r="X149" s="128">
        <f t="shared" si="13"/>
        <v>0</v>
      </c>
    </row>
    <row r="150" spans="2:24" ht="15">
      <c r="B150" s="19" t="s">
        <v>673</v>
      </c>
      <c r="C150" s="28" t="s">
        <v>317</v>
      </c>
      <c r="D150" s="18" t="s">
        <v>307</v>
      </c>
      <c r="E150" s="126">
        <v>0.030208333333333334</v>
      </c>
      <c r="F150" s="200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8"/>
      <c r="W150" s="113">
        <f t="shared" si="12"/>
        <v>0</v>
      </c>
      <c r="X150" s="128">
        <f t="shared" si="13"/>
        <v>0</v>
      </c>
    </row>
    <row r="151" spans="2:24" ht="15">
      <c r="B151" s="19" t="s">
        <v>673</v>
      </c>
      <c r="C151" s="28" t="s">
        <v>152</v>
      </c>
      <c r="D151" s="18" t="s">
        <v>153</v>
      </c>
      <c r="E151" s="126">
        <v>0.036458333333333336</v>
      </c>
      <c r="F151" s="200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8"/>
      <c r="W151" s="113">
        <f t="shared" si="12"/>
        <v>0</v>
      </c>
      <c r="X151" s="128">
        <f t="shared" si="13"/>
        <v>0</v>
      </c>
    </row>
    <row r="152" spans="2:24" ht="15">
      <c r="B152" s="19" t="s">
        <v>673</v>
      </c>
      <c r="C152" s="28" t="s">
        <v>255</v>
      </c>
      <c r="D152" s="18" t="s">
        <v>150</v>
      </c>
      <c r="E152" s="126">
        <v>0.03888888888888889</v>
      </c>
      <c r="F152" s="200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8"/>
      <c r="W152" s="113">
        <f t="shared" si="12"/>
        <v>0</v>
      </c>
      <c r="X152" s="128">
        <f t="shared" si="13"/>
        <v>0</v>
      </c>
    </row>
    <row r="153" spans="2:24" ht="15">
      <c r="B153" s="19" t="s">
        <v>673</v>
      </c>
      <c r="C153" s="28" t="s">
        <v>25</v>
      </c>
      <c r="D153" s="18" t="s">
        <v>26</v>
      </c>
      <c r="E153" s="126">
        <v>0.024305555555555556</v>
      </c>
      <c r="F153" s="200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8"/>
      <c r="W153" s="113">
        <f t="shared" si="12"/>
        <v>0</v>
      </c>
      <c r="X153" s="128">
        <f t="shared" si="13"/>
        <v>0</v>
      </c>
    </row>
    <row r="154" spans="2:24" ht="15">
      <c r="B154" s="19" t="s">
        <v>673</v>
      </c>
      <c r="C154" s="28" t="s">
        <v>158</v>
      </c>
      <c r="D154" s="18" t="s">
        <v>291</v>
      </c>
      <c r="E154" s="126">
        <v>0.03333333333333333</v>
      </c>
      <c r="F154" s="200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8"/>
      <c r="W154" s="113">
        <f t="shared" si="12"/>
        <v>0</v>
      </c>
      <c r="X154" s="128">
        <f t="shared" si="13"/>
        <v>0</v>
      </c>
    </row>
    <row r="155" spans="2:24" ht="15">
      <c r="B155" s="19" t="s">
        <v>673</v>
      </c>
      <c r="C155" s="28" t="s">
        <v>253</v>
      </c>
      <c r="D155" s="18" t="s">
        <v>252</v>
      </c>
      <c r="E155" s="126">
        <v>0.02951388888888889</v>
      </c>
      <c r="F155" s="200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8"/>
      <c r="W155" s="113">
        <f t="shared" si="12"/>
        <v>0</v>
      </c>
      <c r="X155" s="128">
        <f t="shared" si="13"/>
        <v>0</v>
      </c>
    </row>
    <row r="156" spans="2:24" ht="15">
      <c r="B156" s="19" t="s">
        <v>673</v>
      </c>
      <c r="C156" s="28" t="s">
        <v>152</v>
      </c>
      <c r="D156" s="18" t="s">
        <v>171</v>
      </c>
      <c r="E156" s="126">
        <v>0.03680555555555556</v>
      </c>
      <c r="F156" s="200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8"/>
      <c r="W156" s="113">
        <f t="shared" si="12"/>
        <v>0</v>
      </c>
      <c r="X156" s="128">
        <f t="shared" si="13"/>
        <v>0</v>
      </c>
    </row>
    <row r="157" spans="2:24" ht="15">
      <c r="B157" s="19" t="s">
        <v>673</v>
      </c>
      <c r="C157" s="28" t="s">
        <v>124</v>
      </c>
      <c r="D157" s="18" t="s">
        <v>125</v>
      </c>
      <c r="E157" s="126">
        <v>0.03159722222222222</v>
      </c>
      <c r="F157" s="200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8"/>
      <c r="W157" s="113">
        <f t="shared" si="12"/>
        <v>0</v>
      </c>
      <c r="X157" s="128">
        <f t="shared" si="13"/>
        <v>0</v>
      </c>
    </row>
    <row r="158" spans="2:24" ht="15">
      <c r="B158" s="19" t="s">
        <v>673</v>
      </c>
      <c r="C158" s="28" t="s">
        <v>569</v>
      </c>
      <c r="D158" s="18" t="s">
        <v>46</v>
      </c>
      <c r="E158" s="126">
        <v>0.025520833333333336</v>
      </c>
      <c r="F158" s="200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8"/>
      <c r="W158" s="113">
        <f t="shared" si="12"/>
        <v>0</v>
      </c>
      <c r="X158" s="128">
        <f t="shared" si="13"/>
        <v>0</v>
      </c>
    </row>
    <row r="159" spans="2:24" ht="15">
      <c r="B159" s="19" t="s">
        <v>673</v>
      </c>
      <c r="C159" s="28" t="s">
        <v>181</v>
      </c>
      <c r="D159" s="18" t="s">
        <v>182</v>
      </c>
      <c r="E159" s="126">
        <v>0.03802083333333333</v>
      </c>
      <c r="F159" s="200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8"/>
      <c r="W159" s="113">
        <f t="shared" si="12"/>
        <v>0</v>
      </c>
      <c r="X159" s="128">
        <f t="shared" si="13"/>
        <v>0</v>
      </c>
    </row>
    <row r="160" spans="2:24" ht="15">
      <c r="B160" s="19" t="s">
        <v>673</v>
      </c>
      <c r="C160" s="28" t="s">
        <v>389</v>
      </c>
      <c r="D160" s="18" t="s">
        <v>79</v>
      </c>
      <c r="E160" s="126">
        <v>0.03298611111111111</v>
      </c>
      <c r="F160" s="200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8"/>
      <c r="W160" s="113">
        <f aca="true" t="shared" si="14" ref="W160:W172">COUNT(F160:V160)</f>
        <v>0</v>
      </c>
      <c r="X160" s="128">
        <f aca="true" t="shared" si="15" ref="X160:X172">IF(W160&lt;7,SUM(F160:V160),SUM(LARGE(F160:V160,1),LARGE(F160:V160,2),LARGE(F160:V160,3),LARGE(F160:V160,4),LARGE(F160:V160,5),LARGE(F160:V160,6),LARGE(F160:V160,7)))</f>
        <v>0</v>
      </c>
    </row>
    <row r="161" spans="2:24" ht="15">
      <c r="B161" s="19" t="s">
        <v>673</v>
      </c>
      <c r="C161" s="28" t="s">
        <v>293</v>
      </c>
      <c r="D161" s="18" t="s">
        <v>270</v>
      </c>
      <c r="E161" s="126">
        <v>0.03090277777777778</v>
      </c>
      <c r="F161" s="200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8"/>
      <c r="W161" s="113">
        <f t="shared" si="14"/>
        <v>0</v>
      </c>
      <c r="X161" s="128">
        <f t="shared" si="15"/>
        <v>0</v>
      </c>
    </row>
    <row r="162" spans="2:24" ht="15">
      <c r="B162" s="19" t="s">
        <v>673</v>
      </c>
      <c r="C162" s="28" t="s">
        <v>179</v>
      </c>
      <c r="D162" s="18" t="s">
        <v>242</v>
      </c>
      <c r="E162" s="126">
        <v>0.042361111111111106</v>
      </c>
      <c r="F162" s="200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8"/>
      <c r="W162" s="113">
        <f t="shared" si="14"/>
        <v>0</v>
      </c>
      <c r="X162" s="128">
        <f t="shared" si="15"/>
        <v>0</v>
      </c>
    </row>
    <row r="163" spans="2:24" ht="15">
      <c r="B163" s="19" t="s">
        <v>673</v>
      </c>
      <c r="C163" s="28" t="s">
        <v>294</v>
      </c>
      <c r="D163" s="18" t="s">
        <v>175</v>
      </c>
      <c r="E163" s="126">
        <v>0.03888888888888889</v>
      </c>
      <c r="F163" s="200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8"/>
      <c r="W163" s="113">
        <f t="shared" si="14"/>
        <v>0</v>
      </c>
      <c r="X163" s="128">
        <f t="shared" si="15"/>
        <v>0</v>
      </c>
    </row>
    <row r="164" spans="2:24" ht="15">
      <c r="B164" s="19" t="s">
        <v>673</v>
      </c>
      <c r="C164" s="28" t="s">
        <v>201</v>
      </c>
      <c r="D164" s="18" t="s">
        <v>202</v>
      </c>
      <c r="E164" s="126">
        <v>0.04375</v>
      </c>
      <c r="F164" s="200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8"/>
      <c r="W164" s="113">
        <f t="shared" si="14"/>
        <v>0</v>
      </c>
      <c r="X164" s="128">
        <f t="shared" si="15"/>
        <v>0</v>
      </c>
    </row>
    <row r="165" spans="2:24" ht="15">
      <c r="B165" s="19" t="s">
        <v>673</v>
      </c>
      <c r="C165" s="28" t="s">
        <v>220</v>
      </c>
      <c r="D165" s="18" t="s">
        <v>145</v>
      </c>
      <c r="E165" s="126">
        <v>0.04131944444444444</v>
      </c>
      <c r="F165" s="200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8"/>
      <c r="W165" s="113">
        <f t="shared" si="14"/>
        <v>0</v>
      </c>
      <c r="X165" s="128">
        <f t="shared" si="15"/>
        <v>0</v>
      </c>
    </row>
    <row r="166" spans="2:24" ht="15">
      <c r="B166" s="19" t="s">
        <v>673</v>
      </c>
      <c r="C166" s="28" t="s">
        <v>67</v>
      </c>
      <c r="D166" s="18" t="s">
        <v>268</v>
      </c>
      <c r="E166" s="126">
        <v>0.024479166666666666</v>
      </c>
      <c r="F166" s="200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8"/>
      <c r="W166" s="113">
        <f t="shared" si="14"/>
        <v>0</v>
      </c>
      <c r="X166" s="128">
        <f t="shared" si="15"/>
        <v>0</v>
      </c>
    </row>
    <row r="167" spans="2:24" ht="15">
      <c r="B167" s="19" t="s">
        <v>673</v>
      </c>
      <c r="C167" s="28" t="s">
        <v>378</v>
      </c>
      <c r="D167" s="18" t="s">
        <v>55</v>
      </c>
      <c r="E167" s="126">
        <v>0.03975694444444445</v>
      </c>
      <c r="F167" s="200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8"/>
      <c r="W167" s="113">
        <f t="shared" si="14"/>
        <v>0</v>
      </c>
      <c r="X167" s="128">
        <f t="shared" si="15"/>
        <v>0</v>
      </c>
    </row>
    <row r="168" spans="2:24" ht="15">
      <c r="B168" s="19" t="s">
        <v>673</v>
      </c>
      <c r="C168" s="28" t="s">
        <v>115</v>
      </c>
      <c r="D168" s="18" t="s">
        <v>571</v>
      </c>
      <c r="E168" s="126">
        <v>0.021875</v>
      </c>
      <c r="F168" s="200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8"/>
      <c r="W168" s="113">
        <f t="shared" si="14"/>
        <v>0</v>
      </c>
      <c r="X168" s="128">
        <f t="shared" si="15"/>
        <v>0</v>
      </c>
    </row>
    <row r="169" spans="2:24" ht="15">
      <c r="B169" s="19" t="s">
        <v>673</v>
      </c>
      <c r="C169" s="28" t="s">
        <v>330</v>
      </c>
      <c r="D169" s="18" t="s">
        <v>331</v>
      </c>
      <c r="E169" s="126">
        <v>0.03923611111111111</v>
      </c>
      <c r="F169" s="200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8"/>
      <c r="W169" s="113">
        <f t="shared" si="14"/>
        <v>0</v>
      </c>
      <c r="X169" s="128">
        <f t="shared" si="15"/>
        <v>0</v>
      </c>
    </row>
    <row r="170" spans="2:24" ht="15">
      <c r="B170" s="19" t="s">
        <v>673</v>
      </c>
      <c r="C170" s="28" t="s">
        <v>233</v>
      </c>
      <c r="D170" s="18" t="s">
        <v>247</v>
      </c>
      <c r="E170" s="126">
        <v>0.0453125</v>
      </c>
      <c r="F170" s="200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8"/>
      <c r="W170" s="113">
        <f t="shared" si="14"/>
        <v>0</v>
      </c>
      <c r="X170" s="128">
        <f t="shared" si="15"/>
        <v>0</v>
      </c>
    </row>
    <row r="171" spans="2:24" ht="15">
      <c r="B171" s="19" t="s">
        <v>673</v>
      </c>
      <c r="C171" s="28" t="s">
        <v>33</v>
      </c>
      <c r="D171" s="18" t="s">
        <v>327</v>
      </c>
      <c r="E171" s="126">
        <v>0.03333333333333333</v>
      </c>
      <c r="F171" s="200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8"/>
      <c r="W171" s="113">
        <f t="shared" si="14"/>
        <v>0</v>
      </c>
      <c r="X171" s="128">
        <f t="shared" si="15"/>
        <v>0</v>
      </c>
    </row>
    <row r="172" spans="2:24" ht="15">
      <c r="B172" s="19" t="s">
        <v>673</v>
      </c>
      <c r="C172" s="28" t="s">
        <v>106</v>
      </c>
      <c r="D172" s="18" t="s">
        <v>112</v>
      </c>
      <c r="E172" s="126">
        <v>0.03159722222222222</v>
      </c>
      <c r="F172" s="200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8"/>
      <c r="W172" s="113">
        <f t="shared" si="14"/>
        <v>0</v>
      </c>
      <c r="X172" s="128">
        <f t="shared" si="15"/>
        <v>0</v>
      </c>
    </row>
    <row r="173" spans="2:24" ht="15">
      <c r="B173" s="19" t="s">
        <v>673</v>
      </c>
      <c r="C173" s="28" t="s">
        <v>63</v>
      </c>
      <c r="D173" s="18" t="s">
        <v>322</v>
      </c>
      <c r="E173" s="126">
        <v>0.04027777777777778</v>
      </c>
      <c r="F173" s="200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8"/>
      <c r="W173" s="113">
        <f aca="true" t="shared" si="16" ref="W173:W187">COUNT(F173:V173)</f>
        <v>0</v>
      </c>
      <c r="X173" s="128">
        <f aca="true" t="shared" si="17" ref="X173:X187">IF(W173&lt;7,SUM(F173:V173),SUM(LARGE(F173:V173,1),LARGE(F173:V173,2),LARGE(F173:V173,3),LARGE(F173:V173,4),LARGE(F173:V173,5),LARGE(F173:V173,6),LARGE(F173:V173,7)))</f>
        <v>0</v>
      </c>
    </row>
    <row r="174" spans="2:24" ht="15">
      <c r="B174" s="19" t="s">
        <v>673</v>
      </c>
      <c r="C174" s="28" t="s">
        <v>203</v>
      </c>
      <c r="D174" s="18" t="s">
        <v>204</v>
      </c>
      <c r="E174" s="126">
        <v>0.03993055555555556</v>
      </c>
      <c r="F174" s="200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8"/>
      <c r="W174" s="113">
        <f t="shared" si="16"/>
        <v>0</v>
      </c>
      <c r="X174" s="128">
        <f t="shared" si="17"/>
        <v>0</v>
      </c>
    </row>
    <row r="175" spans="2:24" ht="15">
      <c r="B175" s="19" t="s">
        <v>673</v>
      </c>
      <c r="C175" s="28" t="s">
        <v>237</v>
      </c>
      <c r="D175" s="18" t="s">
        <v>123</v>
      </c>
      <c r="E175" s="126">
        <v>0.03072916666666667</v>
      </c>
      <c r="F175" s="200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8"/>
      <c r="W175" s="113">
        <f t="shared" si="16"/>
        <v>0</v>
      </c>
      <c r="X175" s="128">
        <f t="shared" si="17"/>
        <v>0</v>
      </c>
    </row>
    <row r="176" spans="2:24" ht="15">
      <c r="B176" s="19" t="s">
        <v>673</v>
      </c>
      <c r="C176" s="28" t="s">
        <v>164</v>
      </c>
      <c r="D176" s="18" t="s">
        <v>165</v>
      </c>
      <c r="E176" s="126">
        <v>0.03819444444444444</v>
      </c>
      <c r="F176" s="200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8"/>
      <c r="W176" s="113">
        <f t="shared" si="16"/>
        <v>0</v>
      </c>
      <c r="X176" s="128">
        <f t="shared" si="17"/>
        <v>0</v>
      </c>
    </row>
    <row r="177" spans="2:24" ht="15">
      <c r="B177" s="19" t="s">
        <v>673</v>
      </c>
      <c r="C177" s="28" t="s">
        <v>196</v>
      </c>
      <c r="D177" s="18" t="s">
        <v>38</v>
      </c>
      <c r="E177" s="126">
        <v>0.03784722222222222</v>
      </c>
      <c r="F177" s="200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8"/>
      <c r="W177" s="113">
        <f t="shared" si="16"/>
        <v>0</v>
      </c>
      <c r="X177" s="128">
        <f t="shared" si="17"/>
        <v>0</v>
      </c>
    </row>
    <row r="178" spans="2:24" ht="15">
      <c r="B178" s="19" t="s">
        <v>673</v>
      </c>
      <c r="C178" s="28" t="s">
        <v>311</v>
      </c>
      <c r="D178" s="18" t="s">
        <v>38</v>
      </c>
      <c r="E178" s="126">
        <v>0.026041666666666668</v>
      </c>
      <c r="F178" s="200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8"/>
      <c r="W178" s="113">
        <f t="shared" si="16"/>
        <v>0</v>
      </c>
      <c r="X178" s="128">
        <f t="shared" si="17"/>
        <v>0</v>
      </c>
    </row>
    <row r="179" spans="2:24" ht="15">
      <c r="B179" s="19" t="s">
        <v>673</v>
      </c>
      <c r="C179" s="28" t="s">
        <v>52</v>
      </c>
      <c r="D179" s="18" t="s">
        <v>97</v>
      </c>
      <c r="E179" s="126">
        <v>0.030555555555555555</v>
      </c>
      <c r="F179" s="200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8"/>
      <c r="W179" s="113">
        <f t="shared" si="16"/>
        <v>0</v>
      </c>
      <c r="X179" s="128">
        <f t="shared" si="17"/>
        <v>0</v>
      </c>
    </row>
    <row r="180" spans="2:24" ht="15">
      <c r="B180" s="19" t="s">
        <v>673</v>
      </c>
      <c r="C180" s="28" t="s">
        <v>96</v>
      </c>
      <c r="D180" s="18" t="s">
        <v>97</v>
      </c>
      <c r="E180" s="126">
        <v>0.030555555555555555</v>
      </c>
      <c r="F180" s="200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8"/>
      <c r="W180" s="113">
        <f t="shared" si="16"/>
        <v>0</v>
      </c>
      <c r="X180" s="128">
        <f t="shared" si="17"/>
        <v>0</v>
      </c>
    </row>
    <row r="181" spans="2:24" ht="15">
      <c r="B181" s="19" t="s">
        <v>673</v>
      </c>
      <c r="C181" s="28" t="s">
        <v>187</v>
      </c>
      <c r="D181" s="18" t="s">
        <v>188</v>
      </c>
      <c r="E181" s="126">
        <v>0.040625</v>
      </c>
      <c r="F181" s="200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8"/>
      <c r="W181" s="113">
        <f t="shared" si="16"/>
        <v>0</v>
      </c>
      <c r="X181" s="128">
        <f t="shared" si="17"/>
        <v>0</v>
      </c>
    </row>
    <row r="182" spans="2:24" ht="15">
      <c r="B182" s="19" t="s">
        <v>673</v>
      </c>
      <c r="C182" s="28" t="s">
        <v>261</v>
      </c>
      <c r="D182" s="18" t="s">
        <v>260</v>
      </c>
      <c r="E182" s="126">
        <v>0.04010416666666667</v>
      </c>
      <c r="F182" s="200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8"/>
      <c r="W182" s="113">
        <f t="shared" si="16"/>
        <v>0</v>
      </c>
      <c r="X182" s="128">
        <f t="shared" si="17"/>
        <v>0</v>
      </c>
    </row>
    <row r="183" spans="2:24" ht="15">
      <c r="B183" s="19" t="s">
        <v>673</v>
      </c>
      <c r="C183" s="28" t="s">
        <v>52</v>
      </c>
      <c r="D183" s="18" t="s">
        <v>58</v>
      </c>
      <c r="E183" s="126">
        <v>0.026909722222222224</v>
      </c>
      <c r="F183" s="200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8"/>
      <c r="W183" s="113">
        <f t="shared" si="16"/>
        <v>0</v>
      </c>
      <c r="X183" s="128">
        <f t="shared" si="17"/>
        <v>0</v>
      </c>
    </row>
    <row r="184" spans="2:24" ht="15">
      <c r="B184" s="19" t="s">
        <v>673</v>
      </c>
      <c r="C184" s="28" t="s">
        <v>102</v>
      </c>
      <c r="D184" s="18" t="s">
        <v>326</v>
      </c>
      <c r="E184" s="126">
        <v>0.03333333333333333</v>
      </c>
      <c r="F184" s="200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8"/>
      <c r="W184" s="113">
        <f t="shared" si="16"/>
        <v>0</v>
      </c>
      <c r="X184" s="128">
        <f t="shared" si="17"/>
        <v>0</v>
      </c>
    </row>
    <row r="185" spans="2:24" ht="15">
      <c r="B185" s="19" t="s">
        <v>673</v>
      </c>
      <c r="C185" s="28" t="s">
        <v>570</v>
      </c>
      <c r="D185" s="18" t="s">
        <v>173</v>
      </c>
      <c r="E185" s="126">
        <v>0.03819444444444444</v>
      </c>
      <c r="F185" s="200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8"/>
      <c r="W185" s="113">
        <f t="shared" si="16"/>
        <v>0</v>
      </c>
      <c r="X185" s="128">
        <f t="shared" si="17"/>
        <v>0</v>
      </c>
    </row>
    <row r="186" spans="2:24" ht="15">
      <c r="B186" s="19" t="s">
        <v>673</v>
      </c>
      <c r="C186" s="28" t="s">
        <v>65</v>
      </c>
      <c r="D186" s="18" t="s">
        <v>66</v>
      </c>
      <c r="E186" s="126">
        <v>0.028819444444444443</v>
      </c>
      <c r="F186" s="200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8"/>
      <c r="W186" s="113">
        <f t="shared" si="16"/>
        <v>0</v>
      </c>
      <c r="X186" s="128">
        <f t="shared" si="17"/>
        <v>0</v>
      </c>
    </row>
    <row r="187" spans="2:24" ht="15.75" thickBot="1">
      <c r="B187" s="30" t="s">
        <v>673</v>
      </c>
      <c r="C187" s="29" t="s">
        <v>336</v>
      </c>
      <c r="D187" s="20" t="s">
        <v>337</v>
      </c>
      <c r="E187" s="127">
        <v>0.04305555555555556</v>
      </c>
      <c r="F187" s="89"/>
      <c r="G187" s="90"/>
      <c r="H187" s="90"/>
      <c r="I187" s="90"/>
      <c r="J187" s="90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2"/>
      <c r="W187" s="121">
        <f t="shared" si="16"/>
        <v>0</v>
      </c>
      <c r="X187" s="129">
        <f t="shared" si="17"/>
        <v>0</v>
      </c>
    </row>
    <row r="188" ht="15.75" thickTop="1"/>
  </sheetData>
  <sheetProtection/>
  <mergeCells count="4">
    <mergeCell ref="B7:C7"/>
    <mergeCell ref="W7:W9"/>
    <mergeCell ref="X7:X9"/>
    <mergeCell ref="U2:X2"/>
  </mergeCells>
  <conditionalFormatting sqref="F10:V187">
    <cfRule type="cellIs" priority="6" dxfId="25" operator="equal">
      <formula>100</formula>
    </cfRule>
  </conditionalFormatting>
  <conditionalFormatting sqref="W10:W187">
    <cfRule type="cellIs" priority="19" dxfId="0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30" customWidth="1"/>
    <col min="2" max="2" width="10.7109375" style="0" bestFit="1" customWidth="1"/>
    <col min="3" max="3" width="11.7109375" style="0" bestFit="1" customWidth="1"/>
  </cols>
  <sheetData>
    <row r="1" ht="18">
      <c r="A1" s="246" t="s">
        <v>665</v>
      </c>
    </row>
    <row r="2" ht="18">
      <c r="A2" s="246"/>
    </row>
    <row r="4" spans="1:3" s="251" customFormat="1" ht="18" customHeight="1">
      <c r="A4" s="247"/>
      <c r="B4" s="248"/>
      <c r="C4" s="247"/>
    </row>
    <row r="5" spans="1:3" s="251" customFormat="1" ht="18" customHeight="1">
      <c r="A5" s="246"/>
      <c r="B5" s="248"/>
      <c r="C5" s="247"/>
    </row>
    <row r="6" spans="1:3" s="350" customFormat="1" ht="15">
      <c r="A6" s="82" t="s">
        <v>227</v>
      </c>
      <c r="B6" s="248"/>
      <c r="C6" s="248"/>
    </row>
    <row r="7" spans="1:5" s="350" customFormat="1" ht="15">
      <c r="A7" s="254" t="s">
        <v>20</v>
      </c>
      <c r="B7" s="254" t="s">
        <v>17</v>
      </c>
      <c r="C7" s="254" t="s">
        <v>18</v>
      </c>
      <c r="D7" s="80" t="s">
        <v>20</v>
      </c>
      <c r="E7" s="80" t="s">
        <v>216</v>
      </c>
    </row>
    <row r="8" spans="1:3" ht="15">
      <c r="A8" s="230">
        <v>1</v>
      </c>
      <c r="B8" t="s">
        <v>396</v>
      </c>
      <c r="C8" t="s">
        <v>397</v>
      </c>
    </row>
    <row r="9" spans="1:3" ht="15">
      <c r="A9" s="230">
        <v>2</v>
      </c>
      <c r="B9" t="s">
        <v>653</v>
      </c>
      <c r="C9" t="s">
        <v>652</v>
      </c>
    </row>
    <row r="10" spans="1:5" ht="15">
      <c r="A10" s="295">
        <v>3</v>
      </c>
      <c r="B10" s="296" t="s">
        <v>218</v>
      </c>
      <c r="C10" s="296" t="s">
        <v>30</v>
      </c>
      <c r="D10" s="298">
        <v>1</v>
      </c>
      <c r="E10" s="298">
        <v>30</v>
      </c>
    </row>
    <row r="11" spans="1:5" ht="15">
      <c r="A11" s="295">
        <v>4</v>
      </c>
      <c r="B11" s="296" t="s">
        <v>427</v>
      </c>
      <c r="C11" s="296" t="s">
        <v>426</v>
      </c>
      <c r="D11" s="298">
        <v>2</v>
      </c>
      <c r="E11" s="298">
        <v>29</v>
      </c>
    </row>
    <row r="12" spans="1:3" ht="15">
      <c r="A12" s="230">
        <v>5</v>
      </c>
      <c r="B12" t="s">
        <v>654</v>
      </c>
      <c r="C12" t="s">
        <v>512</v>
      </c>
    </row>
    <row r="13" spans="1:5" ht="15">
      <c r="A13" s="295">
        <v>6</v>
      </c>
      <c r="B13" s="296" t="s">
        <v>31</v>
      </c>
      <c r="C13" s="296" t="s">
        <v>310</v>
      </c>
      <c r="D13" s="298">
        <v>3</v>
      </c>
      <c r="E13" s="298">
        <v>28</v>
      </c>
    </row>
    <row r="14" spans="1:5" ht="15">
      <c r="A14" s="295">
        <v>7</v>
      </c>
      <c r="B14" s="296" t="s">
        <v>52</v>
      </c>
      <c r="C14" s="296" t="s">
        <v>274</v>
      </c>
      <c r="D14" s="298">
        <v>4</v>
      </c>
      <c r="E14" s="298">
        <v>27</v>
      </c>
    </row>
    <row r="15" spans="1:5" ht="15">
      <c r="A15" s="295">
        <v>8</v>
      </c>
      <c r="B15" s="296" t="s">
        <v>48</v>
      </c>
      <c r="C15" s="296" t="s">
        <v>656</v>
      </c>
      <c r="D15" s="298">
        <v>5</v>
      </c>
      <c r="E15" s="298">
        <v>26</v>
      </c>
    </row>
    <row r="16" spans="1:5" ht="15">
      <c r="A16" s="295">
        <v>9</v>
      </c>
      <c r="B16" s="296" t="s">
        <v>408</v>
      </c>
      <c r="C16" s="296" t="s">
        <v>420</v>
      </c>
      <c r="D16" s="298">
        <v>6</v>
      </c>
      <c r="E16" s="298">
        <v>25</v>
      </c>
    </row>
    <row r="17" spans="1:3" ht="15">
      <c r="A17" s="230">
        <v>10</v>
      </c>
      <c r="B17" t="s">
        <v>164</v>
      </c>
      <c r="C17" t="s">
        <v>486</v>
      </c>
    </row>
    <row r="18" spans="1:5" ht="15">
      <c r="A18" s="303">
        <v>11</v>
      </c>
      <c r="B18" s="304" t="s">
        <v>69</v>
      </c>
      <c r="C18" s="304" t="s">
        <v>657</v>
      </c>
      <c r="D18" s="306">
        <v>1</v>
      </c>
      <c r="E18" s="306">
        <v>30</v>
      </c>
    </row>
    <row r="19" spans="1:5" ht="15">
      <c r="A19" s="299">
        <v>12</v>
      </c>
      <c r="B19" s="300" t="s">
        <v>243</v>
      </c>
      <c r="C19" s="300" t="s">
        <v>275</v>
      </c>
      <c r="D19" s="302">
        <v>1</v>
      </c>
      <c r="E19" s="302">
        <v>30</v>
      </c>
    </row>
    <row r="20" spans="1:5" ht="15">
      <c r="A20" s="295">
        <v>13</v>
      </c>
      <c r="B20" s="296" t="s">
        <v>50</v>
      </c>
      <c r="C20" s="296" t="s">
        <v>51</v>
      </c>
      <c r="D20" s="298">
        <v>7</v>
      </c>
      <c r="E20" s="298">
        <v>24</v>
      </c>
    </row>
    <row r="21" spans="1:3" ht="15">
      <c r="A21" s="230">
        <v>14</v>
      </c>
      <c r="B21" t="s">
        <v>658</v>
      </c>
      <c r="C21" t="s">
        <v>405</v>
      </c>
    </row>
    <row r="22" spans="1:3" ht="15">
      <c r="A22" s="230">
        <v>15</v>
      </c>
      <c r="B22" t="s">
        <v>659</v>
      </c>
      <c r="C22" t="s">
        <v>178</v>
      </c>
    </row>
    <row r="23" spans="1:5" ht="15">
      <c r="A23" s="303">
        <v>16</v>
      </c>
      <c r="B23" s="304" t="s">
        <v>63</v>
      </c>
      <c r="C23" s="304" t="s">
        <v>64</v>
      </c>
      <c r="D23" s="306">
        <v>2</v>
      </c>
      <c r="E23" s="306">
        <v>29</v>
      </c>
    </row>
    <row r="24" spans="1:5" ht="15">
      <c r="A24" s="303">
        <v>17</v>
      </c>
      <c r="B24" s="304" t="s">
        <v>258</v>
      </c>
      <c r="C24" s="304" t="s">
        <v>257</v>
      </c>
      <c r="D24" s="306">
        <v>3</v>
      </c>
      <c r="E24" s="306">
        <v>28</v>
      </c>
    </row>
    <row r="25" spans="1:5" ht="15">
      <c r="A25" s="303">
        <v>18</v>
      </c>
      <c r="B25" s="304" t="s">
        <v>406</v>
      </c>
      <c r="C25" s="304" t="s">
        <v>407</v>
      </c>
      <c r="D25" s="306">
        <v>4</v>
      </c>
      <c r="E25" s="306">
        <v>27</v>
      </c>
    </row>
    <row r="26" spans="1:5" ht="15">
      <c r="A26" s="299">
        <v>19</v>
      </c>
      <c r="B26" s="300" t="s">
        <v>219</v>
      </c>
      <c r="C26" s="300" t="s">
        <v>241</v>
      </c>
      <c r="D26" s="302">
        <v>2</v>
      </c>
      <c r="E26" s="302">
        <v>29</v>
      </c>
    </row>
    <row r="27" spans="1:5" s="15" customFormat="1" ht="15">
      <c r="A27" s="307">
        <v>20</v>
      </c>
      <c r="B27" s="308" t="s">
        <v>218</v>
      </c>
      <c r="C27" s="308" t="s">
        <v>393</v>
      </c>
      <c r="D27" s="310">
        <v>1</v>
      </c>
      <c r="E27" s="310">
        <v>30</v>
      </c>
    </row>
    <row r="28" spans="1:5" ht="15">
      <c r="A28" s="303">
        <v>21</v>
      </c>
      <c r="B28" s="304" t="s">
        <v>187</v>
      </c>
      <c r="C28" s="304" t="s">
        <v>77</v>
      </c>
      <c r="D28" s="306">
        <v>5</v>
      </c>
      <c r="E28" s="306">
        <v>26</v>
      </c>
    </row>
    <row r="29" spans="1:5" ht="15">
      <c r="A29" s="299">
        <v>22</v>
      </c>
      <c r="B29" s="300" t="s">
        <v>63</v>
      </c>
      <c r="C29" s="300" t="s">
        <v>110</v>
      </c>
      <c r="D29" s="302">
        <v>3</v>
      </c>
      <c r="E29" s="302">
        <v>28</v>
      </c>
    </row>
    <row r="30" spans="1:5" ht="15">
      <c r="A30" s="303">
        <v>23</v>
      </c>
      <c r="B30" s="304" t="s">
        <v>339</v>
      </c>
      <c r="C30" s="304" t="s">
        <v>338</v>
      </c>
      <c r="D30" s="306">
        <v>6</v>
      </c>
      <c r="E30" s="306">
        <v>25</v>
      </c>
    </row>
    <row r="31" spans="1:5" ht="15">
      <c r="A31" s="303">
        <v>24</v>
      </c>
      <c r="B31" s="304" t="s">
        <v>316</v>
      </c>
      <c r="C31" s="304" t="s">
        <v>351</v>
      </c>
      <c r="D31" s="306">
        <v>7</v>
      </c>
      <c r="E31" s="306">
        <v>24</v>
      </c>
    </row>
    <row r="32" spans="1:5" ht="15">
      <c r="A32" s="299">
        <v>25</v>
      </c>
      <c r="B32" s="300" t="s">
        <v>517</v>
      </c>
      <c r="C32" s="300" t="s">
        <v>516</v>
      </c>
      <c r="D32" s="302">
        <v>4</v>
      </c>
      <c r="E32" s="302">
        <v>27</v>
      </c>
    </row>
    <row r="33" spans="1:3" ht="15">
      <c r="A33" s="230">
        <v>26</v>
      </c>
      <c r="B33" t="s">
        <v>527</v>
      </c>
      <c r="C33" t="s">
        <v>660</v>
      </c>
    </row>
    <row r="34" spans="1:5" s="15" customFormat="1" ht="15">
      <c r="A34" s="307">
        <v>27</v>
      </c>
      <c r="B34" s="308" t="s">
        <v>276</v>
      </c>
      <c r="C34" s="308" t="s">
        <v>38</v>
      </c>
      <c r="D34" s="310">
        <v>2</v>
      </c>
      <c r="E34" s="310">
        <v>29</v>
      </c>
    </row>
    <row r="35" spans="1:5" ht="15">
      <c r="A35" s="303">
        <v>28</v>
      </c>
      <c r="B35" s="304" t="s">
        <v>61</v>
      </c>
      <c r="C35" s="304" t="s">
        <v>62</v>
      </c>
      <c r="D35" s="306">
        <v>8</v>
      </c>
      <c r="E35" s="306">
        <v>23</v>
      </c>
    </row>
    <row r="36" spans="1:5" ht="15">
      <c r="A36" s="299">
        <v>29</v>
      </c>
      <c r="B36" s="300" t="s">
        <v>115</v>
      </c>
      <c r="C36" s="300" t="s">
        <v>116</v>
      </c>
      <c r="D36" s="302">
        <v>5</v>
      </c>
      <c r="E36" s="302">
        <v>26</v>
      </c>
    </row>
    <row r="37" spans="1:5" ht="15">
      <c r="A37" s="299">
        <v>30</v>
      </c>
      <c r="B37" s="300" t="s">
        <v>187</v>
      </c>
      <c r="C37" s="300" t="s">
        <v>661</v>
      </c>
      <c r="D37" s="302">
        <v>6</v>
      </c>
      <c r="E37" s="302">
        <v>25</v>
      </c>
    </row>
    <row r="38" spans="1:5" s="15" customFormat="1" ht="15">
      <c r="A38" s="307">
        <v>31</v>
      </c>
      <c r="B38" s="308" t="s">
        <v>243</v>
      </c>
      <c r="C38" s="308" t="s">
        <v>556</v>
      </c>
      <c r="D38" s="310">
        <v>3</v>
      </c>
      <c r="E38" s="310">
        <v>28</v>
      </c>
    </row>
    <row r="39" spans="1:5" ht="15">
      <c r="A39" s="303">
        <v>32</v>
      </c>
      <c r="B39" s="304" t="s">
        <v>408</v>
      </c>
      <c r="C39" s="304" t="s">
        <v>441</v>
      </c>
      <c r="D39" s="306">
        <v>9</v>
      </c>
      <c r="E39" s="306">
        <v>22</v>
      </c>
    </row>
    <row r="40" spans="1:5" ht="15">
      <c r="A40" s="299">
        <v>33</v>
      </c>
      <c r="B40" s="300" t="s">
        <v>220</v>
      </c>
      <c r="C40" s="300" t="s">
        <v>354</v>
      </c>
      <c r="D40" s="302">
        <v>7</v>
      </c>
      <c r="E40" s="302">
        <v>24</v>
      </c>
    </row>
    <row r="41" spans="1:5" ht="15">
      <c r="A41" s="299">
        <v>34</v>
      </c>
      <c r="B41" s="300" t="s">
        <v>63</v>
      </c>
      <c r="C41" s="300" t="s">
        <v>91</v>
      </c>
      <c r="D41" s="302">
        <v>8</v>
      </c>
      <c r="E41" s="302">
        <v>23</v>
      </c>
    </row>
    <row r="42" spans="1:5" s="15" customFormat="1" ht="15">
      <c r="A42" s="256">
        <v>35</v>
      </c>
      <c r="B42" s="257" t="s">
        <v>518</v>
      </c>
      <c r="C42" s="257" t="s">
        <v>178</v>
      </c>
      <c r="D42" s="312">
        <v>1</v>
      </c>
      <c r="E42" s="312">
        <v>30</v>
      </c>
    </row>
    <row r="43" spans="1:5" s="15" customFormat="1" ht="15">
      <c r="A43" s="307">
        <v>36</v>
      </c>
      <c r="B43" s="308" t="s">
        <v>220</v>
      </c>
      <c r="C43" s="308" t="s">
        <v>122</v>
      </c>
      <c r="D43" s="310">
        <v>4</v>
      </c>
      <c r="E43" s="310">
        <v>27</v>
      </c>
    </row>
    <row r="44" spans="1:5" s="15" customFormat="1" ht="15">
      <c r="A44" s="307">
        <v>37</v>
      </c>
      <c r="B44" s="308" t="s">
        <v>228</v>
      </c>
      <c r="C44" s="308" t="s">
        <v>340</v>
      </c>
      <c r="D44" s="310">
        <v>5</v>
      </c>
      <c r="E44" s="310">
        <v>26</v>
      </c>
    </row>
    <row r="45" spans="1:5" s="15" customFormat="1" ht="15">
      <c r="A45" s="307">
        <v>38</v>
      </c>
      <c r="B45" s="308" t="s">
        <v>189</v>
      </c>
      <c r="C45" s="308" t="s">
        <v>162</v>
      </c>
      <c r="D45" s="310">
        <v>6</v>
      </c>
      <c r="E45" s="310">
        <v>25</v>
      </c>
    </row>
    <row r="46" spans="1:5" ht="15">
      <c r="A46" s="299">
        <v>39</v>
      </c>
      <c r="B46" s="300" t="s">
        <v>353</v>
      </c>
      <c r="C46" s="300" t="s">
        <v>95</v>
      </c>
      <c r="D46" s="302">
        <v>9</v>
      </c>
      <c r="E46" s="302">
        <v>22</v>
      </c>
    </row>
    <row r="47" spans="1:5" s="15" customFormat="1" ht="15">
      <c r="A47" s="256">
        <v>40</v>
      </c>
      <c r="B47" s="257" t="s">
        <v>360</v>
      </c>
      <c r="C47" s="257" t="s">
        <v>359</v>
      </c>
      <c r="D47" s="312">
        <v>2</v>
      </c>
      <c r="E47" s="312">
        <v>29</v>
      </c>
    </row>
    <row r="48" spans="1:5" s="15" customFormat="1" ht="15">
      <c r="A48" s="307">
        <v>41</v>
      </c>
      <c r="B48" s="308" t="s">
        <v>103</v>
      </c>
      <c r="C48" s="308" t="s">
        <v>662</v>
      </c>
      <c r="D48" s="310">
        <v>7</v>
      </c>
      <c r="E48" s="310">
        <v>24</v>
      </c>
    </row>
    <row r="49" spans="1:5" s="15" customFormat="1" ht="15">
      <c r="A49" s="307">
        <v>42</v>
      </c>
      <c r="B49" s="308" t="s">
        <v>431</v>
      </c>
      <c r="C49" s="308" t="s">
        <v>432</v>
      </c>
      <c r="D49" s="310">
        <v>8</v>
      </c>
      <c r="E49" s="310">
        <v>23</v>
      </c>
    </row>
    <row r="50" spans="1:5" ht="15">
      <c r="A50" s="299">
        <v>43</v>
      </c>
      <c r="B50" s="300" t="s">
        <v>117</v>
      </c>
      <c r="C50" s="300" t="s">
        <v>118</v>
      </c>
      <c r="D50" s="302">
        <v>10</v>
      </c>
      <c r="E50" s="302">
        <v>21</v>
      </c>
    </row>
    <row r="51" spans="1:5" ht="15">
      <c r="A51" s="299">
        <v>44</v>
      </c>
      <c r="B51" s="300" t="s">
        <v>342</v>
      </c>
      <c r="C51" s="300" t="s">
        <v>127</v>
      </c>
      <c r="D51" s="302">
        <v>11</v>
      </c>
      <c r="E51" s="302">
        <v>20</v>
      </c>
    </row>
    <row r="52" spans="1:5" s="15" customFormat="1" ht="15">
      <c r="A52" s="256">
        <v>45</v>
      </c>
      <c r="B52" s="257" t="s">
        <v>33</v>
      </c>
      <c r="C52" s="257" t="s">
        <v>123</v>
      </c>
      <c r="D52" s="312">
        <v>3</v>
      </c>
      <c r="E52" s="312">
        <v>28</v>
      </c>
    </row>
    <row r="53" spans="1:5" s="15" customFormat="1" ht="15">
      <c r="A53" s="307">
        <v>46</v>
      </c>
      <c r="B53" s="308" t="s">
        <v>414</v>
      </c>
      <c r="C53" s="308" t="s">
        <v>415</v>
      </c>
      <c r="D53" s="310">
        <v>9</v>
      </c>
      <c r="E53" s="310">
        <v>22</v>
      </c>
    </row>
    <row r="54" spans="1:3" ht="15">
      <c r="A54" s="230">
        <v>47</v>
      </c>
      <c r="B54" t="s">
        <v>650</v>
      </c>
      <c r="C54" t="s">
        <v>512</v>
      </c>
    </row>
    <row r="55" spans="1:3" ht="15">
      <c r="A55" s="230">
        <v>48</v>
      </c>
      <c r="B55" t="s">
        <v>176</v>
      </c>
      <c r="C55" t="s">
        <v>655</v>
      </c>
    </row>
    <row r="56" spans="1:5" s="15" customFormat="1" ht="15">
      <c r="A56" s="256">
        <v>49</v>
      </c>
      <c r="B56" s="257" t="s">
        <v>321</v>
      </c>
      <c r="C56" s="257" t="s">
        <v>663</v>
      </c>
      <c r="D56" s="312">
        <v>4</v>
      </c>
      <c r="E56" s="312">
        <v>27</v>
      </c>
    </row>
    <row r="57" spans="1:5" ht="15">
      <c r="A57" s="303">
        <v>50</v>
      </c>
      <c r="B57" s="304" t="s">
        <v>31</v>
      </c>
      <c r="C57" s="304" t="s">
        <v>75</v>
      </c>
      <c r="D57" s="306">
        <v>10</v>
      </c>
      <c r="E57" s="306">
        <v>21</v>
      </c>
    </row>
    <row r="58" spans="1:5" ht="15">
      <c r="A58" s="313">
        <v>51</v>
      </c>
      <c r="B58" s="314" t="s">
        <v>237</v>
      </c>
      <c r="C58" s="314" t="s">
        <v>271</v>
      </c>
      <c r="D58" s="316">
        <v>1</v>
      </c>
      <c r="E58" s="316">
        <v>30</v>
      </c>
    </row>
    <row r="59" spans="1:5" s="15" customFormat="1" ht="15">
      <c r="A59" s="256">
        <v>52</v>
      </c>
      <c r="B59" s="257" t="s">
        <v>63</v>
      </c>
      <c r="C59" s="257" t="s">
        <v>178</v>
      </c>
      <c r="D59" s="312">
        <v>5</v>
      </c>
      <c r="E59" s="312">
        <v>26</v>
      </c>
    </row>
    <row r="60" spans="1:5" ht="15">
      <c r="A60" s="317">
        <v>53</v>
      </c>
      <c r="B60" s="318" t="s">
        <v>228</v>
      </c>
      <c r="C60" s="318" t="s">
        <v>244</v>
      </c>
      <c r="D60" s="320">
        <v>1</v>
      </c>
      <c r="E60" s="320">
        <v>30</v>
      </c>
    </row>
    <row r="61" spans="1:5" ht="15">
      <c r="A61" s="317">
        <v>54</v>
      </c>
      <c r="B61" s="318" t="s">
        <v>218</v>
      </c>
      <c r="C61" s="318" t="s">
        <v>292</v>
      </c>
      <c r="D61" s="320">
        <v>2</v>
      </c>
      <c r="E61" s="320">
        <v>29</v>
      </c>
    </row>
    <row r="62" spans="1:5" ht="15">
      <c r="A62" s="313">
        <v>55</v>
      </c>
      <c r="B62" s="314" t="s">
        <v>379</v>
      </c>
      <c r="C62" s="314" t="s">
        <v>664</v>
      </c>
      <c r="D62" s="316">
        <v>2</v>
      </c>
      <c r="E62" s="316">
        <v>29</v>
      </c>
    </row>
    <row r="63" spans="1:5" ht="15">
      <c r="A63" s="317">
        <v>56</v>
      </c>
      <c r="B63" s="318" t="s">
        <v>390</v>
      </c>
      <c r="C63" s="318" t="s">
        <v>207</v>
      </c>
      <c r="D63" s="320">
        <v>3</v>
      </c>
      <c r="E63" s="320">
        <v>28</v>
      </c>
    </row>
    <row r="64" spans="1:5" s="15" customFormat="1" ht="15">
      <c r="A64" s="307">
        <v>57</v>
      </c>
      <c r="B64" s="308" t="s">
        <v>223</v>
      </c>
      <c r="C64" s="308" t="s">
        <v>114</v>
      </c>
      <c r="D64" s="310">
        <v>10</v>
      </c>
      <c r="E64" s="310">
        <v>21</v>
      </c>
    </row>
    <row r="65" spans="1:3" ht="15">
      <c r="A65" s="230">
        <v>58</v>
      </c>
      <c r="B65" t="s">
        <v>239</v>
      </c>
      <c r="C65" t="s">
        <v>575</v>
      </c>
    </row>
    <row r="66" spans="1:5" s="15" customFormat="1" ht="15">
      <c r="A66" s="256">
        <v>59</v>
      </c>
      <c r="B66" s="257" t="s">
        <v>73</v>
      </c>
      <c r="C66" s="257" t="s">
        <v>373</v>
      </c>
      <c r="D66" s="312">
        <v>6</v>
      </c>
      <c r="E66" s="312">
        <v>25</v>
      </c>
    </row>
    <row r="67" spans="1:5" ht="15">
      <c r="A67" s="317">
        <v>60</v>
      </c>
      <c r="B67" s="318" t="s">
        <v>265</v>
      </c>
      <c r="C67" s="318" t="s">
        <v>264</v>
      </c>
      <c r="D67" s="320">
        <v>4</v>
      </c>
      <c r="E67" s="320">
        <v>27</v>
      </c>
    </row>
    <row r="68" spans="1:5" s="15" customFormat="1" ht="15">
      <c r="A68" s="256">
        <v>61</v>
      </c>
      <c r="B68" s="257" t="s">
        <v>317</v>
      </c>
      <c r="C68" s="257" t="s">
        <v>116</v>
      </c>
      <c r="D68" s="312">
        <v>7</v>
      </c>
      <c r="E68" s="312">
        <v>24</v>
      </c>
    </row>
    <row r="69" spans="1:5" ht="15">
      <c r="A69" s="317">
        <v>62</v>
      </c>
      <c r="B69" s="318" t="s">
        <v>392</v>
      </c>
      <c r="C69" s="318" t="s">
        <v>211</v>
      </c>
      <c r="D69" s="320">
        <v>5</v>
      </c>
      <c r="E69" s="320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34">
      <selection activeCell="H40" sqref="H40"/>
    </sheetView>
  </sheetViews>
  <sheetFormatPr defaultColWidth="9.140625" defaultRowHeight="15"/>
  <cols>
    <col min="1" max="1" width="9.140625" style="230" customWidth="1"/>
    <col min="2" max="2" width="10.7109375" style="0" bestFit="1" customWidth="1"/>
    <col min="3" max="3" width="14.8515625" style="0" bestFit="1" customWidth="1"/>
    <col min="4" max="4" width="8.140625" style="0" bestFit="1" customWidth="1"/>
    <col min="5" max="5" width="8.28125" style="0" customWidth="1"/>
    <col min="6" max="6" width="6.57421875" style="0" customWidth="1"/>
    <col min="7" max="7" width="9.57421875" style="0" customWidth="1"/>
    <col min="8" max="8" width="12.7109375" style="0" customWidth="1"/>
  </cols>
  <sheetData>
    <row r="1" spans="1:10" ht="18">
      <c r="A1" s="246" t="s">
        <v>644</v>
      </c>
      <c r="D1" s="379"/>
      <c r="G1" s="344"/>
      <c r="J1" s="387"/>
    </row>
    <row r="2" spans="1:10" ht="18">
      <c r="A2" s="246"/>
      <c r="D2" s="379"/>
      <c r="G2" s="344"/>
      <c r="J2" s="387"/>
    </row>
    <row r="3" spans="4:10" ht="15">
      <c r="D3" s="379"/>
      <c r="G3" s="347"/>
      <c r="H3" s="346"/>
      <c r="I3" s="346"/>
      <c r="J3" s="347" t="s">
        <v>260</v>
      </c>
    </row>
    <row r="4" spans="1:10" s="251" customFormat="1" ht="18" customHeight="1">
      <c r="A4" s="247"/>
      <c r="B4" s="248"/>
      <c r="C4" s="247"/>
      <c r="D4" s="348"/>
      <c r="G4" s="347" t="s">
        <v>288</v>
      </c>
      <c r="H4" s="346"/>
      <c r="I4" s="346"/>
      <c r="J4" s="347" t="s">
        <v>645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ht="15">
      <c r="A8" s="295">
        <v>1</v>
      </c>
      <c r="B8" s="296" t="s">
        <v>309</v>
      </c>
      <c r="C8" s="296" t="s">
        <v>308</v>
      </c>
      <c r="D8" s="394">
        <v>0.025243055555555557</v>
      </c>
      <c r="E8" s="298">
        <v>1</v>
      </c>
      <c r="F8" s="298">
        <v>30</v>
      </c>
      <c r="G8" s="387">
        <v>0.023854166666666666</v>
      </c>
      <c r="H8" s="352">
        <f>+D8/G8</f>
        <v>1.0582241630276565</v>
      </c>
      <c r="I8" s="15">
        <v>81</v>
      </c>
      <c r="J8" s="379">
        <v>0.023854166666666666</v>
      </c>
    </row>
    <row r="9" spans="1:10" ht="15">
      <c r="A9" s="295">
        <v>2</v>
      </c>
      <c r="B9" s="296" t="s">
        <v>31</v>
      </c>
      <c r="C9" s="296" t="s">
        <v>310</v>
      </c>
      <c r="D9" s="394">
        <v>0.026504629629629628</v>
      </c>
      <c r="E9" s="298">
        <v>2</v>
      </c>
      <c r="F9" s="298">
        <v>29</v>
      </c>
      <c r="G9" s="387">
        <v>0.024502314814814814</v>
      </c>
      <c r="H9" s="352">
        <f>+D9/G9</f>
        <v>1.08171941426547</v>
      </c>
      <c r="I9" s="15">
        <v>70</v>
      </c>
      <c r="J9" s="353">
        <v>0.025104166666666667</v>
      </c>
    </row>
    <row r="10" spans="1:8" ht="15">
      <c r="A10" s="230">
        <v>3</v>
      </c>
      <c r="B10" t="s">
        <v>255</v>
      </c>
      <c r="C10" t="s">
        <v>486</v>
      </c>
      <c r="D10" s="387">
        <v>0.0265162037037037</v>
      </c>
      <c r="G10" s="387"/>
      <c r="H10" s="352"/>
    </row>
    <row r="11" spans="1:10" ht="15">
      <c r="A11" s="295">
        <v>4</v>
      </c>
      <c r="B11" s="296" t="s">
        <v>273</v>
      </c>
      <c r="C11" s="296" t="s">
        <v>272</v>
      </c>
      <c r="D11" s="394">
        <v>0.028113425925925927</v>
      </c>
      <c r="E11" s="298">
        <v>2</v>
      </c>
      <c r="F11" s="298">
        <v>28</v>
      </c>
      <c r="G11" s="387">
        <v>0.026909722222222224</v>
      </c>
      <c r="H11" s="352">
        <f aca="true" t="shared" si="0" ref="H11:H37">+D11/G11</f>
        <v>1.0447311827956989</v>
      </c>
      <c r="I11" s="15">
        <v>87</v>
      </c>
      <c r="J11" s="353">
        <v>0.02658564814814815</v>
      </c>
    </row>
    <row r="12" spans="1:10" ht="15">
      <c r="A12" s="303">
        <v>5</v>
      </c>
      <c r="B12" s="304" t="s">
        <v>63</v>
      </c>
      <c r="C12" s="304" t="s">
        <v>64</v>
      </c>
      <c r="D12" s="395">
        <v>0.02946759259259259</v>
      </c>
      <c r="E12" s="306">
        <v>1</v>
      </c>
      <c r="F12" s="306">
        <v>30</v>
      </c>
      <c r="G12" s="387">
        <v>0.028101851851851854</v>
      </c>
      <c r="H12" s="352">
        <f t="shared" si="0"/>
        <v>1.0485996705107083</v>
      </c>
      <c r="I12" s="15">
        <v>85</v>
      </c>
      <c r="J12" s="353">
        <v>0.02789351851851852</v>
      </c>
    </row>
    <row r="13" spans="1:10" ht="15">
      <c r="A13" s="303">
        <v>6</v>
      </c>
      <c r="B13" s="304" t="s">
        <v>258</v>
      </c>
      <c r="C13" s="304" t="s">
        <v>257</v>
      </c>
      <c r="D13" s="395">
        <v>0.03043981481481482</v>
      </c>
      <c r="E13" s="306">
        <v>2</v>
      </c>
      <c r="F13" s="306">
        <v>29</v>
      </c>
      <c r="G13" s="387">
        <v>0.027627314814814813</v>
      </c>
      <c r="H13" s="352">
        <f t="shared" si="0"/>
        <v>1.1018014243820697</v>
      </c>
      <c r="I13" s="15">
        <v>66</v>
      </c>
      <c r="J13" s="353">
        <v>0.02844907407407407</v>
      </c>
    </row>
    <row r="14" spans="1:10" ht="15">
      <c r="A14" s="299">
        <v>7</v>
      </c>
      <c r="B14" s="300" t="s">
        <v>219</v>
      </c>
      <c r="C14" s="300" t="s">
        <v>275</v>
      </c>
      <c r="D14" s="396">
        <v>0.030509259259259257</v>
      </c>
      <c r="E14" s="302">
        <v>1</v>
      </c>
      <c r="F14" s="302">
        <v>30</v>
      </c>
      <c r="G14" s="387">
        <v>0.02756944444444445</v>
      </c>
      <c r="H14" s="352">
        <f t="shared" si="0"/>
        <v>1.1066330814441643</v>
      </c>
      <c r="I14" s="15">
        <v>65</v>
      </c>
      <c r="J14" s="353">
        <v>0.028437500000000004</v>
      </c>
    </row>
    <row r="15" spans="1:10" ht="15">
      <c r="A15" s="303">
        <v>8</v>
      </c>
      <c r="B15" s="304" t="s">
        <v>219</v>
      </c>
      <c r="C15" s="304" t="s">
        <v>388</v>
      </c>
      <c r="D15" s="395">
        <v>0.030648148148148147</v>
      </c>
      <c r="E15" s="306">
        <v>3</v>
      </c>
      <c r="F15" s="306">
        <v>28</v>
      </c>
      <c r="G15" s="387">
        <v>0.02866898148148148</v>
      </c>
      <c r="H15" s="352">
        <f t="shared" si="0"/>
        <v>1.069035123132822</v>
      </c>
      <c r="I15" s="15">
        <v>75</v>
      </c>
      <c r="J15" s="353">
        <v>0.028993055555555553</v>
      </c>
    </row>
    <row r="16" spans="1:10" s="15" customFormat="1" ht="15">
      <c r="A16" s="307">
        <v>9</v>
      </c>
      <c r="B16" s="308" t="s">
        <v>219</v>
      </c>
      <c r="C16" s="308" t="s">
        <v>556</v>
      </c>
      <c r="D16" s="397">
        <v>0.030810185185185187</v>
      </c>
      <c r="E16" s="310">
        <v>1</v>
      </c>
      <c r="F16" s="310">
        <v>30</v>
      </c>
      <c r="G16" s="387">
        <v>0.030694444444444444</v>
      </c>
      <c r="H16" s="352">
        <f t="shared" si="0"/>
        <v>1.0037707390648567</v>
      </c>
      <c r="I16" s="15">
        <v>97</v>
      </c>
      <c r="J16" s="353">
        <v>0.02982638888888889</v>
      </c>
    </row>
    <row r="17" spans="1:10" ht="15">
      <c r="A17" s="303">
        <v>10</v>
      </c>
      <c r="B17" s="304" t="s">
        <v>187</v>
      </c>
      <c r="C17" s="304" t="s">
        <v>77</v>
      </c>
      <c r="D17" s="395">
        <v>0.03145833333333333</v>
      </c>
      <c r="E17" s="306">
        <v>4</v>
      </c>
      <c r="F17" s="306">
        <v>27</v>
      </c>
      <c r="G17" s="387">
        <v>0.029155092592592594</v>
      </c>
      <c r="H17" s="352">
        <f t="shared" si="0"/>
        <v>1.07899960301707</v>
      </c>
      <c r="I17" s="15">
        <v>72</v>
      </c>
      <c r="J17" s="353">
        <v>0.029641203703703704</v>
      </c>
    </row>
    <row r="18" spans="1:10" ht="15">
      <c r="A18" s="299">
        <v>11</v>
      </c>
      <c r="B18" s="300" t="s">
        <v>321</v>
      </c>
      <c r="C18" s="300" t="s">
        <v>132</v>
      </c>
      <c r="D18" s="396">
        <v>0.03170138888888889</v>
      </c>
      <c r="E18" s="302">
        <v>2</v>
      </c>
      <c r="F18" s="302">
        <v>29</v>
      </c>
      <c r="G18" s="387">
        <v>0.02953703703703704</v>
      </c>
      <c r="H18" s="352">
        <f t="shared" si="0"/>
        <v>1.0732758620689655</v>
      </c>
      <c r="I18" s="15">
        <v>74</v>
      </c>
      <c r="J18" s="353">
        <v>0.029918981481481484</v>
      </c>
    </row>
    <row r="19" spans="1:10" ht="15">
      <c r="A19" s="299">
        <v>12</v>
      </c>
      <c r="B19" s="300" t="s">
        <v>115</v>
      </c>
      <c r="C19" s="300" t="s">
        <v>116</v>
      </c>
      <c r="D19" s="396">
        <v>0.031886574074074074</v>
      </c>
      <c r="E19" s="302">
        <v>3</v>
      </c>
      <c r="F19" s="302">
        <v>28</v>
      </c>
      <c r="G19" s="387">
        <v>0.03199074074074074</v>
      </c>
      <c r="H19" s="352">
        <f t="shared" si="0"/>
        <v>0.9967438494934876</v>
      </c>
      <c r="I19" s="15">
        <v>98</v>
      </c>
      <c r="J19" s="353">
        <v>0.031064814814814816</v>
      </c>
    </row>
    <row r="20" spans="1:10" ht="15">
      <c r="A20" s="299">
        <v>13</v>
      </c>
      <c r="B20" s="300" t="s">
        <v>63</v>
      </c>
      <c r="C20" s="300" t="s">
        <v>110</v>
      </c>
      <c r="D20" s="396">
        <v>0.03197916666666666</v>
      </c>
      <c r="E20" s="302">
        <v>4</v>
      </c>
      <c r="F20" s="302">
        <v>27</v>
      </c>
      <c r="G20" s="387">
        <v>0.02936342592592592</v>
      </c>
      <c r="H20" s="352">
        <f t="shared" si="0"/>
        <v>1.0890815924320063</v>
      </c>
      <c r="I20" s="15">
        <v>68</v>
      </c>
      <c r="J20" s="353">
        <v>0.03006944444444444</v>
      </c>
    </row>
    <row r="21" spans="1:10" ht="15">
      <c r="A21" s="299">
        <v>14</v>
      </c>
      <c r="B21" s="300" t="s">
        <v>220</v>
      </c>
      <c r="C21" s="300" t="s">
        <v>354</v>
      </c>
      <c r="D21" s="396">
        <v>0.03255787037037037</v>
      </c>
      <c r="E21" s="302">
        <v>5</v>
      </c>
      <c r="F21" s="302">
        <v>26</v>
      </c>
      <c r="G21" s="387">
        <v>0.03209490740740741</v>
      </c>
      <c r="H21" s="352">
        <f t="shared" si="0"/>
        <v>1.0144248106743596</v>
      </c>
      <c r="I21" s="15">
        <v>94</v>
      </c>
      <c r="J21" s="353">
        <v>0.0313888888888889</v>
      </c>
    </row>
    <row r="22" spans="1:10" ht="15">
      <c r="A22" s="299">
        <v>15</v>
      </c>
      <c r="B22" s="300" t="s">
        <v>314</v>
      </c>
      <c r="C22" s="300" t="s">
        <v>101</v>
      </c>
      <c r="D22" s="396">
        <v>0.03280092592592593</v>
      </c>
      <c r="E22" s="302">
        <v>6</v>
      </c>
      <c r="F22" s="302">
        <v>25</v>
      </c>
      <c r="G22" s="387">
        <v>0.03137731481481481</v>
      </c>
      <c r="H22" s="352">
        <f t="shared" si="0"/>
        <v>1.0453707119144229</v>
      </c>
      <c r="I22" s="15">
        <v>86</v>
      </c>
      <c r="J22" s="353">
        <v>0.031111111111111107</v>
      </c>
    </row>
    <row r="23" spans="1:10" ht="15">
      <c r="A23" s="299">
        <v>16</v>
      </c>
      <c r="B23" s="300" t="s">
        <v>187</v>
      </c>
      <c r="C23" s="300" t="s">
        <v>88</v>
      </c>
      <c r="D23" s="396">
        <v>0.032962962962962965</v>
      </c>
      <c r="E23" s="302">
        <v>7</v>
      </c>
      <c r="F23" s="302">
        <v>24</v>
      </c>
      <c r="G23" s="387">
        <v>0.030590277777777775</v>
      </c>
      <c r="H23" s="352">
        <f t="shared" si="0"/>
        <v>1.0775633749527054</v>
      </c>
      <c r="I23" s="15">
        <v>73</v>
      </c>
      <c r="J23" s="353">
        <v>0.031018518518518515</v>
      </c>
    </row>
    <row r="24" spans="1:10" s="15" customFormat="1" ht="15">
      <c r="A24" s="307">
        <v>17</v>
      </c>
      <c r="B24" s="308" t="s">
        <v>276</v>
      </c>
      <c r="C24" s="308" t="s">
        <v>38</v>
      </c>
      <c r="D24" s="397">
        <v>0.03304398148148149</v>
      </c>
      <c r="E24" s="310">
        <v>2</v>
      </c>
      <c r="F24" s="310">
        <v>29</v>
      </c>
      <c r="G24" s="387">
        <v>0.030925925925925926</v>
      </c>
      <c r="H24" s="352">
        <f t="shared" si="0"/>
        <v>1.068488023952096</v>
      </c>
      <c r="I24" s="15">
        <v>76</v>
      </c>
      <c r="J24" s="353">
        <v>0.03119212962962963</v>
      </c>
    </row>
    <row r="25" spans="1:10" ht="15">
      <c r="A25" s="299">
        <v>18</v>
      </c>
      <c r="B25" s="300" t="s">
        <v>517</v>
      </c>
      <c r="C25" s="300" t="s">
        <v>516</v>
      </c>
      <c r="D25" s="396">
        <v>0.03306712962962963</v>
      </c>
      <c r="E25" s="302">
        <v>8</v>
      </c>
      <c r="F25" s="302">
        <v>23</v>
      </c>
      <c r="G25" s="387">
        <v>0.031180555555555555</v>
      </c>
      <c r="H25" s="352">
        <f t="shared" si="0"/>
        <v>1.060504825538233</v>
      </c>
      <c r="I25" s="15">
        <v>79</v>
      </c>
      <c r="J25" s="353">
        <v>0.03128472222222222</v>
      </c>
    </row>
    <row r="26" spans="1:10" s="15" customFormat="1" ht="15">
      <c r="A26" s="307">
        <v>19</v>
      </c>
      <c r="B26" s="308" t="s">
        <v>189</v>
      </c>
      <c r="C26" s="308" t="s">
        <v>162</v>
      </c>
      <c r="D26" s="397">
        <v>0.03322916666666667</v>
      </c>
      <c r="E26" s="310">
        <v>3</v>
      </c>
      <c r="F26" s="310">
        <v>28</v>
      </c>
      <c r="G26" s="387">
        <v>0.03256944444444444</v>
      </c>
      <c r="H26" s="352">
        <f t="shared" si="0"/>
        <v>1.0202558635394459</v>
      </c>
      <c r="I26" s="15">
        <v>91</v>
      </c>
      <c r="J26" s="353">
        <v>0.032025462962962964</v>
      </c>
    </row>
    <row r="27" spans="1:10" s="15" customFormat="1" ht="15">
      <c r="A27" s="256">
        <v>20</v>
      </c>
      <c r="B27" s="257" t="s">
        <v>518</v>
      </c>
      <c r="C27" s="257" t="s">
        <v>178</v>
      </c>
      <c r="D27" s="398">
        <v>0.03359953703703703</v>
      </c>
      <c r="E27" s="312">
        <v>1</v>
      </c>
      <c r="F27" s="312">
        <v>30</v>
      </c>
      <c r="G27" s="387">
        <v>0.03280092592592593</v>
      </c>
      <c r="H27" s="352">
        <f t="shared" si="0"/>
        <v>1.0243472124206068</v>
      </c>
      <c r="I27" s="15">
        <v>90</v>
      </c>
      <c r="J27" s="353">
        <v>0.03231481481481482</v>
      </c>
    </row>
    <row r="28" spans="1:10" s="15" customFormat="1" ht="15">
      <c r="A28" s="307">
        <v>21</v>
      </c>
      <c r="B28" s="308" t="s">
        <v>103</v>
      </c>
      <c r="C28" s="308" t="s">
        <v>104</v>
      </c>
      <c r="D28" s="397">
        <v>0.03414351851851852</v>
      </c>
      <c r="E28" s="310">
        <v>4</v>
      </c>
      <c r="F28" s="310">
        <v>27</v>
      </c>
      <c r="G28" s="387">
        <v>0.03159722222222222</v>
      </c>
      <c r="H28" s="352">
        <f t="shared" si="0"/>
        <v>1.0805860805860805</v>
      </c>
      <c r="I28" s="15">
        <v>71</v>
      </c>
      <c r="J28" s="353">
        <v>0.0321412037037037</v>
      </c>
    </row>
    <row r="29" spans="1:10" s="15" customFormat="1" ht="15">
      <c r="A29" s="307">
        <v>22</v>
      </c>
      <c r="B29" s="308" t="s">
        <v>621</v>
      </c>
      <c r="C29" s="308" t="s">
        <v>549</v>
      </c>
      <c r="D29" s="397">
        <v>0.03417824074074074</v>
      </c>
      <c r="E29" s="310">
        <v>5</v>
      </c>
      <c r="F29" s="310">
        <v>26</v>
      </c>
      <c r="G29" s="387">
        <v>0.03383101851851852</v>
      </c>
      <c r="H29" s="352">
        <f t="shared" si="0"/>
        <v>1.010263427984947</v>
      </c>
      <c r="I29" s="15">
        <v>96</v>
      </c>
      <c r="J29" s="353">
        <v>0.03300925925925926</v>
      </c>
    </row>
    <row r="30" spans="1:10" ht="15">
      <c r="A30" s="299">
        <v>23</v>
      </c>
      <c r="B30" s="300" t="s">
        <v>342</v>
      </c>
      <c r="C30" s="300" t="s">
        <v>341</v>
      </c>
      <c r="D30" s="396">
        <v>0.034826388888888886</v>
      </c>
      <c r="E30" s="302">
        <v>9</v>
      </c>
      <c r="F30" s="302">
        <v>22</v>
      </c>
      <c r="G30" s="387">
        <v>0.03423611111111111</v>
      </c>
      <c r="H30" s="352">
        <f t="shared" si="0"/>
        <v>1.0172413793103448</v>
      </c>
      <c r="I30" s="15">
        <v>92</v>
      </c>
      <c r="J30" s="353">
        <v>0.03363425925925926</v>
      </c>
    </row>
    <row r="31" spans="1:10" s="15" customFormat="1" ht="15">
      <c r="A31" s="307">
        <v>24</v>
      </c>
      <c r="B31" s="308" t="s">
        <v>314</v>
      </c>
      <c r="C31" s="308" t="s">
        <v>238</v>
      </c>
      <c r="D31" s="397">
        <v>0.0349537037037037</v>
      </c>
      <c r="E31" s="310">
        <v>6</v>
      </c>
      <c r="F31" s="310">
        <v>25</v>
      </c>
      <c r="G31" s="387">
        <v>0.03078703703703704</v>
      </c>
      <c r="H31" s="352">
        <f t="shared" si="0"/>
        <v>1.1353383458646615</v>
      </c>
      <c r="I31" s="15">
        <v>63</v>
      </c>
      <c r="J31" s="353">
        <v>0.03177083333333334</v>
      </c>
    </row>
    <row r="32" spans="1:10" s="15" customFormat="1" ht="15">
      <c r="A32" s="307">
        <v>25</v>
      </c>
      <c r="B32" s="308" t="s">
        <v>431</v>
      </c>
      <c r="C32" s="308" t="s">
        <v>432</v>
      </c>
      <c r="D32" s="397">
        <v>0.0353587962962963</v>
      </c>
      <c r="E32" s="310">
        <v>7</v>
      </c>
      <c r="F32" s="310">
        <v>24</v>
      </c>
      <c r="G32" s="387">
        <v>0.03346064814814815</v>
      </c>
      <c r="H32" s="352">
        <f t="shared" si="0"/>
        <v>1.0567277758561051</v>
      </c>
      <c r="I32" s="15">
        <v>83</v>
      </c>
      <c r="J32" s="353">
        <v>0.03335648148148148</v>
      </c>
    </row>
    <row r="33" spans="1:10" ht="15">
      <c r="A33" s="299">
        <v>26</v>
      </c>
      <c r="B33" s="300" t="s">
        <v>117</v>
      </c>
      <c r="C33" s="300" t="s">
        <v>118</v>
      </c>
      <c r="D33" s="396">
        <v>0.03537037037037037</v>
      </c>
      <c r="E33" s="302">
        <v>10</v>
      </c>
      <c r="F33" s="302">
        <v>21</v>
      </c>
      <c r="G33" s="387">
        <v>0.03319444444444444</v>
      </c>
      <c r="H33" s="352">
        <f t="shared" si="0"/>
        <v>1.0655509065550908</v>
      </c>
      <c r="I33" s="15">
        <v>78</v>
      </c>
      <c r="J33" s="353">
        <v>0.03335648148148148</v>
      </c>
    </row>
    <row r="34" spans="1:10" ht="15">
      <c r="A34" s="303">
        <v>27</v>
      </c>
      <c r="B34" s="304" t="s">
        <v>31</v>
      </c>
      <c r="C34" s="304" t="s">
        <v>75</v>
      </c>
      <c r="D34" s="395">
        <v>0.03674768518518519</v>
      </c>
      <c r="E34" s="306">
        <v>5</v>
      </c>
      <c r="F34" s="306">
        <v>26</v>
      </c>
      <c r="G34" s="387">
        <v>0.0334375</v>
      </c>
      <c r="H34" s="352">
        <f t="shared" si="0"/>
        <v>1.0989961924541365</v>
      </c>
      <c r="I34" s="15">
        <v>67</v>
      </c>
      <c r="J34" s="353">
        <v>0.03420138888888889</v>
      </c>
    </row>
    <row r="35" spans="1:10" s="15" customFormat="1" ht="15">
      <c r="A35" s="256">
        <v>28</v>
      </c>
      <c r="B35" s="257" t="s">
        <v>360</v>
      </c>
      <c r="C35" s="257" t="s">
        <v>359</v>
      </c>
      <c r="D35" s="398">
        <v>0.03688657407407407</v>
      </c>
      <c r="E35" s="312">
        <v>2</v>
      </c>
      <c r="F35" s="312">
        <v>29</v>
      </c>
      <c r="G35" s="387">
        <v>0.03480324074074074</v>
      </c>
      <c r="H35" s="352">
        <f t="shared" si="0"/>
        <v>1.0598603259062187</v>
      </c>
      <c r="I35" s="15">
        <v>80</v>
      </c>
      <c r="J35" s="353">
        <v>0.03484953703703703</v>
      </c>
    </row>
    <row r="36" spans="1:10" ht="15">
      <c r="A36" s="299">
        <v>29</v>
      </c>
      <c r="B36" s="300" t="s">
        <v>219</v>
      </c>
      <c r="C36" s="300" t="s">
        <v>241</v>
      </c>
      <c r="D36" s="396">
        <v>0.037939814814814815</v>
      </c>
      <c r="E36" s="302">
        <v>11</v>
      </c>
      <c r="F36" s="302">
        <v>20</v>
      </c>
      <c r="G36" s="387">
        <v>0.030462962962962966</v>
      </c>
      <c r="H36" s="352">
        <f t="shared" si="0"/>
        <v>1.2454407294832825</v>
      </c>
      <c r="I36" s="15">
        <v>62</v>
      </c>
      <c r="J36" s="353">
        <v>0.03150462962962963</v>
      </c>
    </row>
    <row r="37" spans="1:10" s="15" customFormat="1" ht="15">
      <c r="A37" s="256">
        <v>30</v>
      </c>
      <c r="B37" s="257" t="s">
        <v>187</v>
      </c>
      <c r="C37" s="257" t="s">
        <v>374</v>
      </c>
      <c r="D37" s="398">
        <v>0.03931712962962963</v>
      </c>
      <c r="E37" s="312">
        <v>3</v>
      </c>
      <c r="F37" s="312">
        <v>28</v>
      </c>
      <c r="G37" s="387">
        <v>0.03688657407407408</v>
      </c>
      <c r="H37" s="352">
        <f t="shared" si="0"/>
        <v>1.0658926890492626</v>
      </c>
      <c r="I37" s="15">
        <v>77</v>
      </c>
      <c r="J37" s="353">
        <v>0.03709490740740741</v>
      </c>
    </row>
    <row r="38" spans="1:8" ht="15">
      <c r="A38" s="230">
        <v>31</v>
      </c>
      <c r="B38" t="s">
        <v>416</v>
      </c>
      <c r="C38" t="s">
        <v>583</v>
      </c>
      <c r="D38" s="387">
        <v>0.03972222222222222</v>
      </c>
      <c r="G38" s="387"/>
      <c r="H38" s="352"/>
    </row>
    <row r="39" spans="1:10" s="15" customFormat="1" ht="15">
      <c r="A39" s="256">
        <v>32</v>
      </c>
      <c r="B39" s="257" t="s">
        <v>96</v>
      </c>
      <c r="C39" s="257" t="s">
        <v>296</v>
      </c>
      <c r="D39" s="398">
        <v>0.040219907407407406</v>
      </c>
      <c r="E39" s="312">
        <v>4</v>
      </c>
      <c r="F39" s="312">
        <v>27</v>
      </c>
      <c r="G39" s="387">
        <v>0.03804398148148148</v>
      </c>
      <c r="H39" s="352">
        <f aca="true" t="shared" si="1" ref="H39:H48">+D39/G39</f>
        <v>1.0571950106480075</v>
      </c>
      <c r="I39" s="15">
        <v>82</v>
      </c>
      <c r="J39" s="353">
        <v>0.03799768518518518</v>
      </c>
    </row>
    <row r="40" spans="1:10" ht="15">
      <c r="A40" s="313">
        <v>33</v>
      </c>
      <c r="B40" s="314" t="s">
        <v>379</v>
      </c>
      <c r="C40" s="314" t="s">
        <v>341</v>
      </c>
      <c r="D40" s="399">
        <v>0.04037037037037037</v>
      </c>
      <c r="E40" s="316">
        <v>1</v>
      </c>
      <c r="F40" s="316">
        <v>30</v>
      </c>
      <c r="G40" s="387">
        <v>0.04064814814814815</v>
      </c>
      <c r="H40" s="352">
        <f t="shared" si="1"/>
        <v>0.9931662870159453</v>
      </c>
      <c r="I40" s="15">
        <v>99</v>
      </c>
      <c r="J40" s="353">
        <v>0.03966435185185185</v>
      </c>
    </row>
    <row r="41" spans="1:10" ht="15">
      <c r="A41" s="317">
        <v>34</v>
      </c>
      <c r="B41" s="318" t="s">
        <v>228</v>
      </c>
      <c r="C41" s="318" t="s">
        <v>244</v>
      </c>
      <c r="D41" s="319">
        <v>0.0408912037037037</v>
      </c>
      <c r="E41" s="320">
        <v>1</v>
      </c>
      <c r="F41" s="320">
        <v>30</v>
      </c>
      <c r="G41" s="387">
        <v>0.03957175925925926</v>
      </c>
      <c r="H41" s="352">
        <f t="shared" si="1"/>
        <v>1.0333430827727406</v>
      </c>
      <c r="I41" s="15">
        <v>89</v>
      </c>
      <c r="J41" s="353">
        <v>0.039143518518518515</v>
      </c>
    </row>
    <row r="42" spans="1:10" ht="15">
      <c r="A42" s="313">
        <v>35</v>
      </c>
      <c r="B42" s="314" t="s">
        <v>334</v>
      </c>
      <c r="C42" s="314" t="s">
        <v>335</v>
      </c>
      <c r="D42" s="399">
        <v>0.04141203703703703</v>
      </c>
      <c r="E42" s="316">
        <v>2</v>
      </c>
      <c r="F42" s="316">
        <v>29</v>
      </c>
      <c r="G42" s="387">
        <v>0.04076388888888889</v>
      </c>
      <c r="H42" s="352">
        <f t="shared" si="1"/>
        <v>1.0159000567859169</v>
      </c>
      <c r="I42" s="15">
        <v>93</v>
      </c>
      <c r="J42" s="353">
        <v>0.040115740740740743</v>
      </c>
    </row>
    <row r="43" spans="1:10" ht="15">
      <c r="A43" s="313">
        <v>36</v>
      </c>
      <c r="B43" s="314" t="s">
        <v>332</v>
      </c>
      <c r="C43" s="314" t="s">
        <v>333</v>
      </c>
      <c r="D43" s="399">
        <v>0.042361111111111106</v>
      </c>
      <c r="E43" s="316">
        <v>3</v>
      </c>
      <c r="F43" s="316">
        <v>28</v>
      </c>
      <c r="G43" s="387">
        <v>0.038125</v>
      </c>
      <c r="H43" s="352">
        <f t="shared" si="1"/>
        <v>1.111111111111111</v>
      </c>
      <c r="I43" s="15">
        <v>64</v>
      </c>
      <c r="J43" s="353">
        <v>0.039050925925925926</v>
      </c>
    </row>
    <row r="44" spans="1:10" ht="15">
      <c r="A44" s="317">
        <v>37</v>
      </c>
      <c r="B44" s="318" t="s">
        <v>218</v>
      </c>
      <c r="C44" s="318" t="s">
        <v>292</v>
      </c>
      <c r="D44" s="319">
        <v>0.04251157407407407</v>
      </c>
      <c r="E44" s="320">
        <v>2</v>
      </c>
      <c r="F44" s="320">
        <v>29</v>
      </c>
      <c r="G44" s="387">
        <v>0.04091435185185185</v>
      </c>
      <c r="H44" s="352">
        <f t="shared" si="1"/>
        <v>1.039038189533239</v>
      </c>
      <c r="I44" s="15">
        <v>88</v>
      </c>
      <c r="J44" s="353">
        <v>0.040532407407407406</v>
      </c>
    </row>
    <row r="45" spans="1:10" ht="15">
      <c r="A45" s="317">
        <v>38</v>
      </c>
      <c r="B45" s="318" t="s">
        <v>507</v>
      </c>
      <c r="C45" s="318" t="s">
        <v>178</v>
      </c>
      <c r="D45" s="319">
        <v>0.04290509259259259</v>
      </c>
      <c r="E45" s="320">
        <v>3</v>
      </c>
      <c r="F45" s="320">
        <v>28</v>
      </c>
      <c r="G45" s="387">
        <v>0.04337962962962963</v>
      </c>
      <c r="H45" s="352">
        <f t="shared" si="1"/>
        <v>0.9890608324439701</v>
      </c>
      <c r="I45" s="15">
        <v>100</v>
      </c>
      <c r="J45" s="353">
        <v>0.04233796296296296</v>
      </c>
    </row>
    <row r="46" spans="1:10" ht="15">
      <c r="A46" s="313">
        <v>39</v>
      </c>
      <c r="B46" s="314" t="s">
        <v>31</v>
      </c>
      <c r="C46" s="314" t="s">
        <v>325</v>
      </c>
      <c r="D46" s="399">
        <v>0.045231481481481484</v>
      </c>
      <c r="E46" s="316">
        <v>4</v>
      </c>
      <c r="F46" s="316">
        <v>27</v>
      </c>
      <c r="G46" s="387">
        <v>0.04179398148148148</v>
      </c>
      <c r="H46" s="352">
        <f t="shared" si="1"/>
        <v>1.08224868457491</v>
      </c>
      <c r="I46" s="15">
        <v>69</v>
      </c>
      <c r="J46" s="353">
        <v>0.04244212962962963</v>
      </c>
    </row>
    <row r="47" spans="1:10" ht="15">
      <c r="A47" s="317">
        <v>40</v>
      </c>
      <c r="B47" s="318" t="s">
        <v>392</v>
      </c>
      <c r="C47" s="318" t="s">
        <v>211</v>
      </c>
      <c r="D47" s="319">
        <v>0.04528935185185186</v>
      </c>
      <c r="E47" s="320">
        <v>4</v>
      </c>
      <c r="F47" s="320">
        <v>27</v>
      </c>
      <c r="G47" s="387">
        <v>0.044652777777777784</v>
      </c>
      <c r="H47" s="352">
        <f t="shared" si="1"/>
        <v>1.014256091238984</v>
      </c>
      <c r="I47" s="15">
        <v>95</v>
      </c>
      <c r="J47" s="353">
        <v>0.043888888888888894</v>
      </c>
    </row>
    <row r="48" spans="1:10" ht="15">
      <c r="A48" s="317">
        <v>41</v>
      </c>
      <c r="B48" s="318" t="s">
        <v>383</v>
      </c>
      <c r="C48" s="318" t="s">
        <v>382</v>
      </c>
      <c r="D48" s="319">
        <v>0.0453125</v>
      </c>
      <c r="E48" s="320">
        <v>5</v>
      </c>
      <c r="F48" s="320">
        <v>26</v>
      </c>
      <c r="G48" s="387">
        <v>0.042916666666666665</v>
      </c>
      <c r="H48" s="352">
        <f t="shared" si="1"/>
        <v>1.0558252427184467</v>
      </c>
      <c r="I48" s="15">
        <v>84</v>
      </c>
      <c r="J48" s="353">
        <v>0.04275462962962963</v>
      </c>
    </row>
    <row r="49" spans="1:4" ht="15">
      <c r="A49" s="230">
        <v>42</v>
      </c>
      <c r="B49" t="s">
        <v>416</v>
      </c>
      <c r="C49" t="s">
        <v>585</v>
      </c>
      <c r="D49" s="387">
        <v>0.04600694444444444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selection activeCell="H13" sqref="H13"/>
    </sheetView>
  </sheetViews>
  <sheetFormatPr defaultColWidth="9.140625" defaultRowHeight="15"/>
  <cols>
    <col min="1" max="1" width="9.140625" style="230" customWidth="1"/>
    <col min="2" max="3" width="12.00390625" style="0" bestFit="1" customWidth="1"/>
    <col min="12" max="12" width="18.8515625" style="0" bestFit="1" customWidth="1"/>
    <col min="13" max="13" width="9.140625" style="387" customWidth="1"/>
  </cols>
  <sheetData>
    <row r="1" spans="1:7" ht="18">
      <c r="A1" s="246" t="s">
        <v>638</v>
      </c>
      <c r="D1" s="379"/>
      <c r="G1" s="344"/>
    </row>
    <row r="2" spans="1:7" ht="18">
      <c r="A2" s="246"/>
      <c r="D2" s="379"/>
      <c r="G2" s="344"/>
    </row>
    <row r="3" spans="4:10" ht="15">
      <c r="D3" s="379"/>
      <c r="G3" s="347" t="s">
        <v>634</v>
      </c>
      <c r="H3" s="346"/>
      <c r="I3" s="346"/>
      <c r="J3" s="347"/>
    </row>
    <row r="4" spans="1:13" s="251" customFormat="1" ht="18" customHeight="1">
      <c r="A4" s="247"/>
      <c r="B4" s="248"/>
      <c r="C4" s="247"/>
      <c r="D4" s="348"/>
      <c r="G4" s="347" t="s">
        <v>567</v>
      </c>
      <c r="H4" s="346"/>
      <c r="I4" s="346"/>
      <c r="J4" s="347" t="s">
        <v>288</v>
      </c>
      <c r="M4" s="387"/>
    </row>
    <row r="5" spans="1:13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  <c r="M5" s="387"/>
    </row>
    <row r="6" spans="1:13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  <c r="M6" s="387"/>
    </row>
    <row r="7" spans="1:13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  <c r="M7" s="387"/>
    </row>
    <row r="8" spans="1:13" s="15" customFormat="1" ht="15">
      <c r="A8" s="230">
        <v>1</v>
      </c>
      <c r="B8" t="s">
        <v>67</v>
      </c>
      <c r="C8" t="s">
        <v>398</v>
      </c>
      <c r="D8" s="387">
        <v>0.021168981481481483</v>
      </c>
      <c r="E8"/>
      <c r="F8"/>
      <c r="G8" s="387"/>
      <c r="H8"/>
      <c r="I8"/>
      <c r="J8"/>
      <c r="K8"/>
      <c r="L8"/>
      <c r="M8" s="387"/>
    </row>
    <row r="9" spans="1:13" s="15" customFormat="1" ht="15">
      <c r="A9" s="295">
        <v>2</v>
      </c>
      <c r="B9" s="296" t="s">
        <v>31</v>
      </c>
      <c r="C9" s="296" t="s">
        <v>310</v>
      </c>
      <c r="D9" s="394">
        <v>0.02259259259259259</v>
      </c>
      <c r="E9" s="298">
        <v>1</v>
      </c>
      <c r="F9" s="298">
        <v>30</v>
      </c>
      <c r="G9" s="387">
        <v>0.02398148148148148</v>
      </c>
      <c r="H9" s="352">
        <f aca="true" t="shared" si="0" ref="H9:H41">+D9/G9</f>
        <v>0.9420849420849421</v>
      </c>
      <c r="I9" s="15">
        <v>67</v>
      </c>
      <c r="J9" s="379">
        <v>0.024502314814814814</v>
      </c>
      <c r="K9"/>
      <c r="L9"/>
      <c r="M9" s="387"/>
    </row>
    <row r="10" spans="1:13" s="15" customFormat="1" ht="15">
      <c r="A10" s="295">
        <v>3</v>
      </c>
      <c r="B10" s="296" t="s">
        <v>218</v>
      </c>
      <c r="C10" s="296" t="s">
        <v>30</v>
      </c>
      <c r="D10" s="394">
        <v>0.022777777777777775</v>
      </c>
      <c r="E10" s="298">
        <v>2</v>
      </c>
      <c r="F10" s="298">
        <v>29</v>
      </c>
      <c r="G10" s="387">
        <v>0.02344907407407407</v>
      </c>
      <c r="H10" s="352">
        <f t="shared" si="0"/>
        <v>0.9713721618953604</v>
      </c>
      <c r="I10" s="15">
        <v>60</v>
      </c>
      <c r="J10" s="379">
        <v>0.02429398148148148</v>
      </c>
      <c r="K10"/>
      <c r="L10"/>
      <c r="M10" s="387"/>
    </row>
    <row r="11" spans="1:13" s="15" customFormat="1" ht="15">
      <c r="A11" s="295">
        <v>4</v>
      </c>
      <c r="B11" s="296" t="s">
        <v>427</v>
      </c>
      <c r="C11" s="296" t="s">
        <v>426</v>
      </c>
      <c r="D11" s="394">
        <v>0.02337962962962963</v>
      </c>
      <c r="E11" s="298">
        <v>3</v>
      </c>
      <c r="F11" s="298">
        <v>28</v>
      </c>
      <c r="G11" s="387">
        <v>0.023865740740740743</v>
      </c>
      <c r="H11" s="352">
        <f t="shared" si="0"/>
        <v>0.9796314258001939</v>
      </c>
      <c r="I11" s="15">
        <v>57</v>
      </c>
      <c r="J11" s="379">
        <v>0.024849537037037038</v>
      </c>
      <c r="K11"/>
      <c r="L11"/>
      <c r="M11" s="387"/>
    </row>
    <row r="12" spans="1:10" ht="15">
      <c r="A12" s="295">
        <v>5</v>
      </c>
      <c r="B12" s="296" t="s">
        <v>408</v>
      </c>
      <c r="C12" s="296" t="s">
        <v>420</v>
      </c>
      <c r="D12" s="394">
        <v>0.024085648148148144</v>
      </c>
      <c r="E12" s="298">
        <v>4</v>
      </c>
      <c r="F12" s="298">
        <v>27</v>
      </c>
      <c r="G12" s="387">
        <v>0.025810185185185183</v>
      </c>
      <c r="H12" s="352">
        <f t="shared" si="0"/>
        <v>0.9331838565022421</v>
      </c>
      <c r="I12" s="15">
        <v>73</v>
      </c>
      <c r="J12" s="379">
        <v>0.026041666666666664</v>
      </c>
    </row>
    <row r="13" spans="1:13" s="15" customFormat="1" ht="15">
      <c r="A13" s="295">
        <v>6</v>
      </c>
      <c r="B13" s="296" t="s">
        <v>52</v>
      </c>
      <c r="C13" s="296" t="s">
        <v>274</v>
      </c>
      <c r="D13" s="394">
        <v>0.024097222222222225</v>
      </c>
      <c r="E13" s="298">
        <v>5</v>
      </c>
      <c r="F13" s="298">
        <v>26</v>
      </c>
      <c r="G13" s="387">
        <v>0.025578703703703704</v>
      </c>
      <c r="H13" s="352">
        <f t="shared" si="0"/>
        <v>0.942081447963801</v>
      </c>
      <c r="I13" s="15">
        <v>68</v>
      </c>
      <c r="J13" s="379">
        <v>0.026041666666666668</v>
      </c>
      <c r="K13"/>
      <c r="L13"/>
      <c r="M13" s="387"/>
    </row>
    <row r="14" spans="1:13" s="15" customFormat="1" ht="15">
      <c r="A14" s="295">
        <v>7</v>
      </c>
      <c r="B14" s="296" t="s">
        <v>52</v>
      </c>
      <c r="C14" s="296" t="s">
        <v>53</v>
      </c>
      <c r="D14" s="394">
        <v>0.025162037037037035</v>
      </c>
      <c r="E14" s="298">
        <v>6</v>
      </c>
      <c r="F14" s="298">
        <v>25</v>
      </c>
      <c r="G14" s="387">
        <v>0.027592592592592596</v>
      </c>
      <c r="H14" s="352">
        <f t="shared" si="0"/>
        <v>0.9119127516778521</v>
      </c>
      <c r="I14" s="15">
        <v>87</v>
      </c>
      <c r="J14" s="379">
        <v>0.02717592592592593</v>
      </c>
      <c r="K14"/>
      <c r="L14"/>
      <c r="M14" s="387"/>
    </row>
    <row r="15" spans="1:13" ht="15">
      <c r="A15" s="303">
        <v>8</v>
      </c>
      <c r="B15" s="304" t="s">
        <v>258</v>
      </c>
      <c r="C15" s="304" t="s">
        <v>257</v>
      </c>
      <c r="D15" s="395">
        <v>0.025671296296296296</v>
      </c>
      <c r="E15" s="306">
        <v>1</v>
      </c>
      <c r="F15" s="306">
        <v>30</v>
      </c>
      <c r="G15" s="387">
        <v>0.027766203703703706</v>
      </c>
      <c r="H15" s="352">
        <f t="shared" si="0"/>
        <v>0.924551896623593</v>
      </c>
      <c r="I15" s="15">
        <v>81</v>
      </c>
      <c r="J15" s="379">
        <v>0.027627314814814816</v>
      </c>
      <c r="K15" s="15"/>
      <c r="M15" s="15"/>
    </row>
    <row r="16" spans="1:13" ht="15">
      <c r="A16" s="303">
        <v>9</v>
      </c>
      <c r="B16" s="304" t="s">
        <v>63</v>
      </c>
      <c r="C16" s="304" t="s">
        <v>64</v>
      </c>
      <c r="D16" s="395">
        <v>0.026064814814814815</v>
      </c>
      <c r="E16" s="306">
        <v>2</v>
      </c>
      <c r="F16" s="306">
        <v>29</v>
      </c>
      <c r="G16" s="387">
        <v>0.028148148148148148</v>
      </c>
      <c r="H16" s="352">
        <f t="shared" si="0"/>
        <v>0.9259868421052632</v>
      </c>
      <c r="I16" s="15">
        <v>79</v>
      </c>
      <c r="J16" s="379">
        <v>0.02810185185185185</v>
      </c>
      <c r="K16" s="15"/>
      <c r="M16" s="15"/>
    </row>
    <row r="17" spans="1:13" ht="15">
      <c r="A17" s="303">
        <v>10</v>
      </c>
      <c r="B17" s="304" t="s">
        <v>219</v>
      </c>
      <c r="C17" s="304" t="s">
        <v>388</v>
      </c>
      <c r="D17" s="395">
        <v>0.026585648148148146</v>
      </c>
      <c r="E17" s="306">
        <v>3</v>
      </c>
      <c r="F17" s="306">
        <v>28</v>
      </c>
      <c r="G17" s="387">
        <v>0.028101851851851854</v>
      </c>
      <c r="H17" s="352">
        <f t="shared" si="0"/>
        <v>0.9460461285008236</v>
      </c>
      <c r="I17" s="15">
        <v>66</v>
      </c>
      <c r="J17" s="379">
        <v>0.028668981481481483</v>
      </c>
      <c r="K17" s="15"/>
      <c r="M17" s="15"/>
    </row>
    <row r="18" spans="1:12" s="15" customFormat="1" ht="15">
      <c r="A18" s="303">
        <v>11</v>
      </c>
      <c r="B18" s="304" t="s">
        <v>187</v>
      </c>
      <c r="C18" s="304" t="s">
        <v>77</v>
      </c>
      <c r="D18" s="395">
        <v>0.027060185185185184</v>
      </c>
      <c r="E18" s="306">
        <v>4</v>
      </c>
      <c r="F18" s="306">
        <v>27</v>
      </c>
      <c r="G18" s="387">
        <v>0.029386574074074075</v>
      </c>
      <c r="H18" s="352">
        <f t="shared" si="0"/>
        <v>0.9208349743993698</v>
      </c>
      <c r="I18" s="15">
        <v>83</v>
      </c>
      <c r="J18" s="379">
        <v>0.029155092592592594</v>
      </c>
      <c r="L18"/>
    </row>
    <row r="19" spans="1:10" ht="15">
      <c r="A19" s="299">
        <v>12</v>
      </c>
      <c r="B19" s="300" t="s">
        <v>321</v>
      </c>
      <c r="C19" s="300" t="s">
        <v>132</v>
      </c>
      <c r="D19" s="396">
        <v>0.027094907407407404</v>
      </c>
      <c r="E19" s="302">
        <v>1</v>
      </c>
      <c r="F19" s="302">
        <v>30</v>
      </c>
      <c r="G19" s="387">
        <v>0.03005787037037037</v>
      </c>
      <c r="H19" s="352">
        <f t="shared" si="0"/>
        <v>0.9014247208317289</v>
      </c>
      <c r="I19" s="15">
        <v>89</v>
      </c>
      <c r="J19" s="379">
        <v>0.029537037037037035</v>
      </c>
    </row>
    <row r="20" spans="1:13" s="15" customFormat="1" ht="15">
      <c r="A20" s="299">
        <v>13</v>
      </c>
      <c r="B20" s="300" t="s">
        <v>63</v>
      </c>
      <c r="C20" s="300" t="s">
        <v>110</v>
      </c>
      <c r="D20" s="396">
        <v>0.027118055555555555</v>
      </c>
      <c r="E20" s="302">
        <v>2</v>
      </c>
      <c r="F20" s="302">
        <v>29</v>
      </c>
      <c r="G20" s="387">
        <v>0.0296412037037037</v>
      </c>
      <c r="H20" s="352">
        <f t="shared" si="0"/>
        <v>0.9148770011714175</v>
      </c>
      <c r="I20" s="15">
        <v>84</v>
      </c>
      <c r="J20" s="379">
        <v>0.029363425925925925</v>
      </c>
      <c r="K20"/>
      <c r="L20"/>
      <c r="M20" s="387"/>
    </row>
    <row r="21" spans="1:13" ht="15">
      <c r="A21" s="307">
        <v>14</v>
      </c>
      <c r="B21" s="308" t="s">
        <v>219</v>
      </c>
      <c r="C21" s="308" t="s">
        <v>556</v>
      </c>
      <c r="D21" s="397">
        <v>0.027187499999999996</v>
      </c>
      <c r="E21" s="310">
        <v>1</v>
      </c>
      <c r="F21" s="310">
        <v>30</v>
      </c>
      <c r="G21" s="387">
        <v>0.03158564814814815</v>
      </c>
      <c r="H21" s="352">
        <f t="shared" si="0"/>
        <v>0.8607548552583363</v>
      </c>
      <c r="I21" s="15">
        <v>97</v>
      </c>
      <c r="J21" s="379">
        <v>0.030694444444444444</v>
      </c>
      <c r="K21" s="15"/>
      <c r="M21" s="15"/>
    </row>
    <row r="22" spans="1:10" ht="15">
      <c r="A22" s="299">
        <v>15</v>
      </c>
      <c r="B22" s="300" t="s">
        <v>219</v>
      </c>
      <c r="C22" s="300" t="s">
        <v>241</v>
      </c>
      <c r="D22" s="396">
        <v>0.027395833333333335</v>
      </c>
      <c r="E22" s="302">
        <v>3</v>
      </c>
      <c r="F22" s="302">
        <v>28</v>
      </c>
      <c r="G22" s="387">
        <v>0.031261574074074074</v>
      </c>
      <c r="H22" s="352">
        <f t="shared" si="0"/>
        <v>0.8763420955201777</v>
      </c>
      <c r="I22" s="15">
        <v>95</v>
      </c>
      <c r="J22" s="379">
        <v>0.030462962962962963</v>
      </c>
    </row>
    <row r="23" spans="1:12" s="15" customFormat="1" ht="15">
      <c r="A23" s="307">
        <v>16</v>
      </c>
      <c r="B23" s="308" t="s">
        <v>259</v>
      </c>
      <c r="C23" s="308" t="s">
        <v>256</v>
      </c>
      <c r="D23" s="397">
        <v>0.02761574074074074</v>
      </c>
      <c r="E23" s="310">
        <v>2</v>
      </c>
      <c r="F23" s="310">
        <v>29</v>
      </c>
      <c r="G23" s="387">
        <v>0.02871527777777778</v>
      </c>
      <c r="H23" s="352">
        <f t="shared" si="0"/>
        <v>0.9617089883111647</v>
      </c>
      <c r="I23" s="15">
        <v>61</v>
      </c>
      <c r="J23" s="379">
        <v>0.02951388888888889</v>
      </c>
      <c r="L23"/>
    </row>
    <row r="24" spans="1:12" s="15" customFormat="1" ht="15">
      <c r="A24" s="303">
        <v>17</v>
      </c>
      <c r="B24" s="304" t="s">
        <v>61</v>
      </c>
      <c r="C24" s="304" t="s">
        <v>62</v>
      </c>
      <c r="D24" s="395">
        <v>0.02767361111111111</v>
      </c>
      <c r="E24" s="306">
        <v>5</v>
      </c>
      <c r="F24" s="306">
        <v>26</v>
      </c>
      <c r="G24" s="387">
        <v>0.029166666666666664</v>
      </c>
      <c r="H24" s="352">
        <f t="shared" si="0"/>
        <v>0.9488095238095239</v>
      </c>
      <c r="I24" s="15">
        <v>64</v>
      </c>
      <c r="J24" s="379">
        <v>0.029826388888888885</v>
      </c>
      <c r="L24"/>
    </row>
    <row r="25" spans="1:12" s="15" customFormat="1" ht="15">
      <c r="A25" s="303">
        <v>18</v>
      </c>
      <c r="B25" s="304" t="s">
        <v>316</v>
      </c>
      <c r="C25" s="304" t="s">
        <v>351</v>
      </c>
      <c r="D25" s="395">
        <v>0.027928240740740743</v>
      </c>
      <c r="E25" s="306">
        <v>6</v>
      </c>
      <c r="F25" s="306">
        <v>25</v>
      </c>
      <c r="G25" s="387">
        <v>0.02974537037037037</v>
      </c>
      <c r="H25" s="352">
        <f t="shared" si="0"/>
        <v>0.938910505836576</v>
      </c>
      <c r="I25" s="15">
        <v>70</v>
      </c>
      <c r="J25" s="379">
        <v>0.03011574074074074</v>
      </c>
      <c r="L25"/>
    </row>
    <row r="26" spans="1:10" ht="15">
      <c r="A26" s="299">
        <v>19</v>
      </c>
      <c r="B26" s="300" t="s">
        <v>115</v>
      </c>
      <c r="C26" s="300" t="s">
        <v>116</v>
      </c>
      <c r="D26" s="396">
        <v>0.028229166666666663</v>
      </c>
      <c r="E26" s="302">
        <v>4</v>
      </c>
      <c r="F26" s="302">
        <v>27</v>
      </c>
      <c r="G26" s="387">
        <v>0.03297453703703704</v>
      </c>
      <c r="H26" s="352">
        <f t="shared" si="0"/>
        <v>0.856089856089856</v>
      </c>
      <c r="I26" s="15">
        <v>99</v>
      </c>
      <c r="J26" s="379">
        <v>0.03199074074074074</v>
      </c>
    </row>
    <row r="27" spans="1:10" ht="15">
      <c r="A27" s="299">
        <v>20</v>
      </c>
      <c r="B27" s="300" t="s">
        <v>187</v>
      </c>
      <c r="C27" s="300" t="s">
        <v>88</v>
      </c>
      <c r="D27" s="396">
        <v>0.028310185185185185</v>
      </c>
      <c r="E27" s="302">
        <v>5</v>
      </c>
      <c r="F27" s="302">
        <v>26</v>
      </c>
      <c r="G27" s="387">
        <v>0.03026620370370371</v>
      </c>
      <c r="H27" s="352">
        <f t="shared" si="0"/>
        <v>0.9353728489483746</v>
      </c>
      <c r="I27" s="15">
        <v>71</v>
      </c>
      <c r="J27" s="379">
        <v>0.030590277777777782</v>
      </c>
    </row>
    <row r="28" spans="1:12" s="15" customFormat="1" ht="15">
      <c r="A28" s="307">
        <v>21</v>
      </c>
      <c r="B28" s="308" t="s">
        <v>276</v>
      </c>
      <c r="C28" s="308" t="s">
        <v>38</v>
      </c>
      <c r="D28" s="397">
        <v>0.028564814814814814</v>
      </c>
      <c r="E28" s="310">
        <v>3</v>
      </c>
      <c r="F28" s="310">
        <v>28</v>
      </c>
      <c r="G28" s="387">
        <v>0.03125</v>
      </c>
      <c r="H28" s="352">
        <f t="shared" si="0"/>
        <v>0.914074074074074</v>
      </c>
      <c r="I28" s="15">
        <v>85</v>
      </c>
      <c r="J28" s="379">
        <v>0.030925925925925926</v>
      </c>
      <c r="L28"/>
    </row>
    <row r="29" spans="1:13" s="15" customFormat="1" ht="15">
      <c r="A29" s="299">
        <v>22</v>
      </c>
      <c r="B29" s="300" t="s">
        <v>517</v>
      </c>
      <c r="C29" s="300" t="s">
        <v>516</v>
      </c>
      <c r="D29" s="396">
        <v>0.028958333333333332</v>
      </c>
      <c r="E29" s="302">
        <v>6</v>
      </c>
      <c r="F29" s="302">
        <v>25</v>
      </c>
      <c r="G29" s="387">
        <v>0.03127314814814815</v>
      </c>
      <c r="H29" s="352">
        <f t="shared" si="0"/>
        <v>0.9259807549962991</v>
      </c>
      <c r="I29" s="15">
        <v>80</v>
      </c>
      <c r="J29" s="379">
        <v>0.031180555555555555</v>
      </c>
      <c r="K29"/>
      <c r="L29"/>
      <c r="M29" s="387"/>
    </row>
    <row r="30" spans="1:10" ht="15">
      <c r="A30" s="299">
        <v>23</v>
      </c>
      <c r="B30" s="300" t="s">
        <v>63</v>
      </c>
      <c r="C30" s="300" t="s">
        <v>91</v>
      </c>
      <c r="D30" s="396">
        <v>0.028958333333333332</v>
      </c>
      <c r="E30" s="302">
        <v>7</v>
      </c>
      <c r="F30" s="302">
        <v>24</v>
      </c>
      <c r="G30" s="387">
        <v>0.03141203703703704</v>
      </c>
      <c r="H30" s="352">
        <f t="shared" si="0"/>
        <v>0.9218865143699336</v>
      </c>
      <c r="I30" s="15">
        <v>82</v>
      </c>
      <c r="J30" s="379">
        <v>0.031226851851851853</v>
      </c>
    </row>
    <row r="31" spans="1:13" s="15" customFormat="1" ht="15">
      <c r="A31" s="299">
        <v>24</v>
      </c>
      <c r="B31" s="300" t="s">
        <v>314</v>
      </c>
      <c r="C31" s="300" t="s">
        <v>101</v>
      </c>
      <c r="D31" s="396">
        <v>0.029074074074074075</v>
      </c>
      <c r="E31" s="302">
        <v>8</v>
      </c>
      <c r="F31" s="302">
        <v>23</v>
      </c>
      <c r="G31" s="387">
        <v>0.03119212962962963</v>
      </c>
      <c r="H31" s="352">
        <f t="shared" si="0"/>
        <v>0.9320964749536179</v>
      </c>
      <c r="I31" s="15">
        <v>74</v>
      </c>
      <c r="J31" s="379">
        <v>0.031377314814814816</v>
      </c>
      <c r="K31"/>
      <c r="L31"/>
      <c r="M31" s="387"/>
    </row>
    <row r="32" spans="1:13" ht="15">
      <c r="A32" s="307">
        <v>25</v>
      </c>
      <c r="B32" s="308" t="s">
        <v>218</v>
      </c>
      <c r="C32" s="308" t="s">
        <v>393</v>
      </c>
      <c r="D32" s="397">
        <v>0.029525462962962965</v>
      </c>
      <c r="E32" s="310">
        <v>4</v>
      </c>
      <c r="F32" s="310">
        <v>27</v>
      </c>
      <c r="G32" s="387">
        <v>0.034212962962962966</v>
      </c>
      <c r="H32" s="352">
        <f t="shared" si="0"/>
        <v>0.8629905277401895</v>
      </c>
      <c r="I32" s="15">
        <v>96</v>
      </c>
      <c r="J32" s="379">
        <v>0.03336805555555556</v>
      </c>
      <c r="K32" s="15"/>
      <c r="M32" s="15"/>
    </row>
    <row r="33" spans="1:13" s="15" customFormat="1" ht="15">
      <c r="A33" s="299">
        <v>26</v>
      </c>
      <c r="B33" s="300" t="s">
        <v>220</v>
      </c>
      <c r="C33" s="300" t="s">
        <v>354</v>
      </c>
      <c r="D33" s="396">
        <v>0.029745370370370373</v>
      </c>
      <c r="E33" s="302">
        <v>9</v>
      </c>
      <c r="F33" s="302">
        <v>22</v>
      </c>
      <c r="G33" s="387">
        <v>0.03167824074074074</v>
      </c>
      <c r="H33" s="352">
        <f t="shared" si="0"/>
        <v>0.9389842893679211</v>
      </c>
      <c r="I33" s="15">
        <v>69</v>
      </c>
      <c r="J33" s="379">
        <v>0.03209490740740741</v>
      </c>
      <c r="K33"/>
      <c r="L33"/>
      <c r="M33" s="387"/>
    </row>
    <row r="34" spans="1:12" s="15" customFormat="1" ht="15">
      <c r="A34" s="256">
        <v>27</v>
      </c>
      <c r="B34" s="257" t="s">
        <v>518</v>
      </c>
      <c r="C34" s="257" t="s">
        <v>178</v>
      </c>
      <c r="D34" s="398">
        <v>0.029837962962962965</v>
      </c>
      <c r="E34" s="312">
        <v>1</v>
      </c>
      <c r="F34" s="312">
        <v>30</v>
      </c>
      <c r="G34" s="387">
        <v>0.03350694444444444</v>
      </c>
      <c r="H34" s="352">
        <f t="shared" si="0"/>
        <v>0.8905008635578585</v>
      </c>
      <c r="I34" s="15">
        <v>93</v>
      </c>
      <c r="J34" s="379">
        <v>0.03280092592592593</v>
      </c>
      <c r="L34"/>
    </row>
    <row r="35" spans="1:13" s="15" customFormat="1" ht="15">
      <c r="A35" s="299">
        <v>28</v>
      </c>
      <c r="B35" s="300" t="s">
        <v>320</v>
      </c>
      <c r="C35" s="300" t="s">
        <v>310</v>
      </c>
      <c r="D35" s="396">
        <v>0.029907407407407407</v>
      </c>
      <c r="E35" s="302">
        <v>10</v>
      </c>
      <c r="F35" s="302">
        <v>21</v>
      </c>
      <c r="G35" s="387">
        <v>0.030474537037037036</v>
      </c>
      <c r="H35" s="352">
        <f t="shared" si="0"/>
        <v>0.9813900493733384</v>
      </c>
      <c r="I35" s="15">
        <v>56</v>
      </c>
      <c r="J35" s="379">
        <v>0.031516203703703706</v>
      </c>
      <c r="K35"/>
      <c r="L35"/>
      <c r="M35" s="387"/>
    </row>
    <row r="36" spans="1:12" s="15" customFormat="1" ht="15">
      <c r="A36" s="307">
        <v>29</v>
      </c>
      <c r="B36" s="308" t="s">
        <v>189</v>
      </c>
      <c r="C36" s="308" t="s">
        <v>162</v>
      </c>
      <c r="D36" s="397">
        <v>0.030162037037037032</v>
      </c>
      <c r="E36" s="310">
        <v>5</v>
      </c>
      <c r="F36" s="310">
        <v>26</v>
      </c>
      <c r="G36" s="387">
        <v>0.03229166666666667</v>
      </c>
      <c r="H36" s="352">
        <f t="shared" si="0"/>
        <v>0.9340501792114693</v>
      </c>
      <c r="I36" s="15">
        <v>72</v>
      </c>
      <c r="J36" s="379">
        <v>0.03256944444444445</v>
      </c>
      <c r="L36"/>
    </row>
    <row r="37" spans="1:10" ht="15">
      <c r="A37" s="299">
        <v>30</v>
      </c>
      <c r="B37" s="300" t="s">
        <v>353</v>
      </c>
      <c r="C37" s="300" t="s">
        <v>95</v>
      </c>
      <c r="D37" s="396">
        <v>0.030462962962962963</v>
      </c>
      <c r="E37" s="302">
        <v>11</v>
      </c>
      <c r="F37" s="302">
        <v>20</v>
      </c>
      <c r="G37" s="387">
        <v>0.03130787037037037</v>
      </c>
      <c r="H37" s="352">
        <f t="shared" si="0"/>
        <v>0.9730129390018485</v>
      </c>
      <c r="I37" s="15">
        <v>59</v>
      </c>
      <c r="J37" s="379">
        <v>0.032199074074074074</v>
      </c>
    </row>
    <row r="38" spans="1:13" ht="15">
      <c r="A38" s="307">
        <v>31</v>
      </c>
      <c r="B38" s="308" t="s">
        <v>63</v>
      </c>
      <c r="C38" s="308" t="s">
        <v>38</v>
      </c>
      <c r="D38" s="397">
        <v>0.030879629629629632</v>
      </c>
      <c r="E38" s="310">
        <v>6</v>
      </c>
      <c r="F38" s="310">
        <v>25</v>
      </c>
      <c r="G38" s="387">
        <v>0.033136574074074075</v>
      </c>
      <c r="H38" s="352">
        <f t="shared" si="0"/>
        <v>0.9318896262661545</v>
      </c>
      <c r="I38" s="15">
        <v>75</v>
      </c>
      <c r="J38" s="379">
        <v>0.033275462962962965</v>
      </c>
      <c r="K38" s="15"/>
      <c r="M38" s="15"/>
    </row>
    <row r="39" spans="1:13" ht="15">
      <c r="A39" s="307">
        <v>32</v>
      </c>
      <c r="B39" s="308" t="s">
        <v>52</v>
      </c>
      <c r="C39" s="308" t="s">
        <v>122</v>
      </c>
      <c r="D39" s="397">
        <v>0.031342592592592596</v>
      </c>
      <c r="E39" s="310">
        <v>7</v>
      </c>
      <c r="F39" s="310">
        <v>24</v>
      </c>
      <c r="G39" s="387">
        <v>0.033796296296296297</v>
      </c>
      <c r="H39" s="352">
        <f t="shared" si="0"/>
        <v>0.9273972602739727</v>
      </c>
      <c r="I39" s="15">
        <v>78</v>
      </c>
      <c r="J39" s="379">
        <v>0.033796296296296297</v>
      </c>
      <c r="K39" s="15"/>
      <c r="M39" s="15"/>
    </row>
    <row r="40" spans="1:12" s="15" customFormat="1" ht="15">
      <c r="A40" s="256">
        <v>33</v>
      </c>
      <c r="B40" s="257" t="s">
        <v>468</v>
      </c>
      <c r="C40" s="257" t="s">
        <v>359</v>
      </c>
      <c r="D40" s="398">
        <v>0.03186342592592593</v>
      </c>
      <c r="E40" s="312">
        <v>2</v>
      </c>
      <c r="F40" s="312">
        <v>29</v>
      </c>
      <c r="G40" s="387">
        <v>0.035416666666666666</v>
      </c>
      <c r="H40" s="352">
        <f t="shared" si="0"/>
        <v>0.8996732026143791</v>
      </c>
      <c r="I40" s="15">
        <v>91</v>
      </c>
      <c r="J40" s="379">
        <v>0.03480324074074074</v>
      </c>
      <c r="L40"/>
    </row>
    <row r="41" spans="1:12" s="15" customFormat="1" ht="15">
      <c r="A41" s="307">
        <v>34</v>
      </c>
      <c r="B41" s="308" t="s">
        <v>519</v>
      </c>
      <c r="C41" s="308" t="s">
        <v>156</v>
      </c>
      <c r="D41" s="397">
        <v>0.032268518518518516</v>
      </c>
      <c r="E41" s="310">
        <v>8</v>
      </c>
      <c r="F41" s="310">
        <v>23</v>
      </c>
      <c r="G41" s="387">
        <v>0.03408564814814815</v>
      </c>
      <c r="H41" s="352">
        <f t="shared" si="0"/>
        <v>0.9466893039049235</v>
      </c>
      <c r="I41" s="15">
        <v>65</v>
      </c>
      <c r="J41" s="379">
        <v>0.03469907407407408</v>
      </c>
      <c r="L41"/>
    </row>
    <row r="42" spans="1:13" s="15" customFormat="1" ht="15">
      <c r="A42" s="230">
        <v>35</v>
      </c>
      <c r="B42" t="s">
        <v>562</v>
      </c>
      <c r="C42" t="s">
        <v>561</v>
      </c>
      <c r="D42" s="387">
        <v>0.032337962962962964</v>
      </c>
      <c r="E42"/>
      <c r="F42"/>
      <c r="G42" s="387"/>
      <c r="H42" s="352"/>
      <c r="I42"/>
      <c r="J42"/>
      <c r="K42"/>
      <c r="L42"/>
      <c r="M42" s="387"/>
    </row>
    <row r="43" spans="1:13" ht="15">
      <c r="A43" s="313">
        <v>36</v>
      </c>
      <c r="B43" s="314" t="s">
        <v>237</v>
      </c>
      <c r="C43" s="314" t="s">
        <v>271</v>
      </c>
      <c r="D43" s="399">
        <v>0.032476851851851854</v>
      </c>
      <c r="E43" s="316">
        <v>1</v>
      </c>
      <c r="F43" s="316">
        <v>30</v>
      </c>
      <c r="G43" s="387">
        <v>0.03989583333333333</v>
      </c>
      <c r="H43" s="352">
        <f>+D43/G43</f>
        <v>0.8140411952422397</v>
      </c>
      <c r="I43" s="15">
        <v>100</v>
      </c>
      <c r="J43" s="379">
        <v>0.03885416666666666</v>
      </c>
      <c r="K43" s="15"/>
      <c r="M43" s="15"/>
    </row>
    <row r="44" spans="1:12" s="15" customFormat="1" ht="15">
      <c r="A44" s="307">
        <v>37</v>
      </c>
      <c r="B44" s="308" t="s">
        <v>316</v>
      </c>
      <c r="C44" s="308" t="s">
        <v>315</v>
      </c>
      <c r="D44" s="397">
        <v>0.0325</v>
      </c>
      <c r="E44" s="310">
        <v>9</v>
      </c>
      <c r="F44" s="310">
        <v>22</v>
      </c>
      <c r="G44" s="387">
        <v>0.034942129629629635</v>
      </c>
      <c r="H44" s="352">
        <f>+D44/G44</f>
        <v>0.9301093077177872</v>
      </c>
      <c r="I44" s="15">
        <v>76</v>
      </c>
      <c r="J44" s="379">
        <v>0.03503472222222223</v>
      </c>
      <c r="L44"/>
    </row>
    <row r="45" spans="1:13" s="15" customFormat="1" ht="15">
      <c r="A45" s="230">
        <v>38</v>
      </c>
      <c r="B45" t="s">
        <v>392</v>
      </c>
      <c r="C45" t="s">
        <v>561</v>
      </c>
      <c r="D45" s="387">
        <v>0.03262731481481482</v>
      </c>
      <c r="E45"/>
      <c r="F45"/>
      <c r="G45" s="387"/>
      <c r="H45" s="352"/>
      <c r="I45"/>
      <c r="J45"/>
      <c r="K45"/>
      <c r="L45"/>
      <c r="M45" s="387"/>
    </row>
    <row r="46" spans="1:13" ht="15">
      <c r="A46" s="256">
        <v>39</v>
      </c>
      <c r="B46" s="257" t="s">
        <v>139</v>
      </c>
      <c r="C46" s="257" t="s">
        <v>140</v>
      </c>
      <c r="D46" s="398">
        <v>0.03318287037037037</v>
      </c>
      <c r="E46" s="312">
        <v>3</v>
      </c>
      <c r="F46" s="312">
        <v>28</v>
      </c>
      <c r="G46" s="387">
        <v>0.03577546296296296</v>
      </c>
      <c r="H46" s="352">
        <f>+D46/G46</f>
        <v>0.9275315431899063</v>
      </c>
      <c r="I46" s="15">
        <v>77</v>
      </c>
      <c r="J46" s="379">
        <v>0.035821759259259255</v>
      </c>
      <c r="K46" s="15"/>
      <c r="M46" s="15"/>
    </row>
    <row r="47" spans="1:13" ht="15">
      <c r="A47" s="256">
        <v>40</v>
      </c>
      <c r="B47" s="257" t="s">
        <v>33</v>
      </c>
      <c r="C47" s="257" t="s">
        <v>123</v>
      </c>
      <c r="D47" s="398">
        <v>0.033726851851851855</v>
      </c>
      <c r="E47" s="312">
        <v>4</v>
      </c>
      <c r="F47" s="312">
        <v>27</v>
      </c>
      <c r="G47" s="387">
        <v>0.03552083333333333</v>
      </c>
      <c r="H47" s="352">
        <f>+D47/G47</f>
        <v>0.9494949494949497</v>
      </c>
      <c r="I47" s="15">
        <v>63</v>
      </c>
      <c r="J47" s="379">
        <v>0.03622685185185184</v>
      </c>
      <c r="K47" s="15"/>
      <c r="M47" s="15"/>
    </row>
    <row r="48" spans="1:13" ht="15">
      <c r="A48" s="256">
        <v>41</v>
      </c>
      <c r="B48" s="257" t="s">
        <v>187</v>
      </c>
      <c r="C48" s="257" t="s">
        <v>374</v>
      </c>
      <c r="D48" s="398">
        <v>0.03387731481481481</v>
      </c>
      <c r="E48" s="312">
        <v>5</v>
      </c>
      <c r="F48" s="312">
        <v>26</v>
      </c>
      <c r="G48" s="387">
        <v>0.037349537037037035</v>
      </c>
      <c r="H48" s="352">
        <f>+D48/G48</f>
        <v>0.9070343972730089</v>
      </c>
      <c r="I48" s="15">
        <v>88</v>
      </c>
      <c r="J48" s="379">
        <v>0.03688657407407407</v>
      </c>
      <c r="K48" s="15"/>
      <c r="M48" s="15"/>
    </row>
    <row r="49" spans="1:13" s="15" customFormat="1" ht="15">
      <c r="A49" s="230">
        <v>42</v>
      </c>
      <c r="B49" t="s">
        <v>316</v>
      </c>
      <c r="C49" t="s">
        <v>617</v>
      </c>
      <c r="D49" s="387">
        <v>0.03453703703703704</v>
      </c>
      <c r="E49"/>
      <c r="F49"/>
      <c r="G49" s="387"/>
      <c r="H49" s="352"/>
      <c r="I49"/>
      <c r="J49"/>
      <c r="K49"/>
      <c r="L49"/>
      <c r="M49" s="387"/>
    </row>
    <row r="50" spans="1:12" s="15" customFormat="1" ht="15">
      <c r="A50" s="317">
        <v>43</v>
      </c>
      <c r="B50" s="318" t="s">
        <v>228</v>
      </c>
      <c r="C50" s="318" t="s">
        <v>244</v>
      </c>
      <c r="D50" s="319">
        <v>0.03616898148148148</v>
      </c>
      <c r="E50" s="320">
        <v>1</v>
      </c>
      <c r="F50" s="320">
        <v>30</v>
      </c>
      <c r="G50" s="387">
        <v>0.04023148148148148</v>
      </c>
      <c r="H50" s="352">
        <f aca="true" t="shared" si="1" ref="H50:H56">+D50/G50</f>
        <v>0.8990218642117377</v>
      </c>
      <c r="I50" s="15">
        <v>92</v>
      </c>
      <c r="J50" s="379">
        <v>0.03957175925925926</v>
      </c>
      <c r="L50"/>
    </row>
    <row r="51" spans="1:12" s="15" customFormat="1" ht="15">
      <c r="A51" s="256">
        <v>44</v>
      </c>
      <c r="B51" s="257" t="s">
        <v>321</v>
      </c>
      <c r="C51" s="257" t="s">
        <v>190</v>
      </c>
      <c r="D51" s="398">
        <v>0.036481481481481476</v>
      </c>
      <c r="E51" s="312">
        <v>6</v>
      </c>
      <c r="F51" s="312">
        <v>25</v>
      </c>
      <c r="G51" s="387">
        <v>0.03743055555555556</v>
      </c>
      <c r="H51" s="352">
        <f t="shared" si="1"/>
        <v>0.9746444032158316</v>
      </c>
      <c r="I51" s="15">
        <v>58</v>
      </c>
      <c r="J51" s="379">
        <v>0.03836805555555556</v>
      </c>
      <c r="L51"/>
    </row>
    <row r="52" spans="1:12" s="15" customFormat="1" ht="15">
      <c r="A52" s="317">
        <v>45</v>
      </c>
      <c r="B52" s="318" t="s">
        <v>218</v>
      </c>
      <c r="C52" s="318" t="s">
        <v>292</v>
      </c>
      <c r="D52" s="319">
        <v>0.03733796296296296</v>
      </c>
      <c r="E52" s="320">
        <v>2</v>
      </c>
      <c r="F52" s="320">
        <v>29</v>
      </c>
      <c r="G52" s="387">
        <v>0.04148148148148148</v>
      </c>
      <c r="H52" s="352">
        <f t="shared" si="1"/>
        <v>0.9001116071428571</v>
      </c>
      <c r="I52" s="15">
        <v>90</v>
      </c>
      <c r="J52" s="379">
        <v>0.04091435185185185</v>
      </c>
      <c r="L52"/>
    </row>
    <row r="53" spans="1:13" ht="15">
      <c r="A53" s="317">
        <v>46</v>
      </c>
      <c r="B53" s="318" t="s">
        <v>507</v>
      </c>
      <c r="C53" s="318" t="s">
        <v>178</v>
      </c>
      <c r="D53" s="319">
        <v>0.038125</v>
      </c>
      <c r="E53" s="320">
        <v>3</v>
      </c>
      <c r="F53" s="320">
        <v>28</v>
      </c>
      <c r="G53" s="387">
        <v>0.04431712962962963</v>
      </c>
      <c r="H53" s="352">
        <f t="shared" si="1"/>
        <v>0.8602768346826848</v>
      </c>
      <c r="I53" s="15">
        <v>98</v>
      </c>
      <c r="J53" s="379">
        <v>0.04337962962962963</v>
      </c>
      <c r="K53" s="15"/>
      <c r="M53" s="15"/>
    </row>
    <row r="54" spans="1:13" ht="15">
      <c r="A54" s="317">
        <v>47</v>
      </c>
      <c r="B54" s="318" t="s">
        <v>390</v>
      </c>
      <c r="C54" s="318" t="s">
        <v>207</v>
      </c>
      <c r="D54" s="319">
        <v>0.03890046296296296</v>
      </c>
      <c r="E54" s="320">
        <v>4</v>
      </c>
      <c r="F54" s="320">
        <v>27</v>
      </c>
      <c r="G54" s="387">
        <v>0.04372685185185185</v>
      </c>
      <c r="H54" s="352">
        <f t="shared" si="1"/>
        <v>0.8896241397564849</v>
      </c>
      <c r="I54" s="15">
        <v>94</v>
      </c>
      <c r="J54" s="379">
        <v>0.04297453703703703</v>
      </c>
      <c r="K54" s="15"/>
      <c r="M54" s="15"/>
    </row>
    <row r="55" spans="1:13" ht="15">
      <c r="A55" s="317">
        <v>48</v>
      </c>
      <c r="B55" s="318" t="s">
        <v>265</v>
      </c>
      <c r="C55" s="318" t="s">
        <v>264</v>
      </c>
      <c r="D55" s="319">
        <v>0.039467592592592596</v>
      </c>
      <c r="E55" s="320">
        <v>5</v>
      </c>
      <c r="F55" s="320">
        <v>26</v>
      </c>
      <c r="G55" s="387">
        <v>0.04324074074074074</v>
      </c>
      <c r="H55" s="352">
        <f t="shared" si="1"/>
        <v>0.9127408993576018</v>
      </c>
      <c r="I55" s="15">
        <v>86</v>
      </c>
      <c r="J55" s="379">
        <v>0.04287037037037037</v>
      </c>
      <c r="K55" s="15"/>
      <c r="M55" s="15"/>
    </row>
    <row r="56" spans="1:12" s="15" customFormat="1" ht="15">
      <c r="A56" s="317">
        <v>49</v>
      </c>
      <c r="B56" s="318" t="s">
        <v>392</v>
      </c>
      <c r="C56" s="318" t="s">
        <v>211</v>
      </c>
      <c r="D56" s="319">
        <v>0.04199074074074074</v>
      </c>
      <c r="E56" s="320">
        <v>6</v>
      </c>
      <c r="F56" s="320">
        <v>25</v>
      </c>
      <c r="G56" s="387">
        <v>0.04390046296296296</v>
      </c>
      <c r="H56" s="352">
        <f t="shared" si="1"/>
        <v>0.9564988136040073</v>
      </c>
      <c r="I56" s="15">
        <v>62</v>
      </c>
      <c r="J56" s="379">
        <v>0.04465277777777778</v>
      </c>
      <c r="L5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6">
      <selection activeCell="A9" sqref="A9:IV9"/>
    </sheetView>
  </sheetViews>
  <sheetFormatPr defaultColWidth="9.140625" defaultRowHeight="15"/>
  <cols>
    <col min="1" max="1" width="9.140625" style="230" customWidth="1"/>
    <col min="2" max="2" width="10.7109375" style="268" bestFit="1" customWidth="1"/>
    <col min="3" max="3" width="11.421875" style="268" bestFit="1" customWidth="1"/>
    <col min="4" max="6" width="9.140625" style="268" customWidth="1"/>
    <col min="7" max="7" width="9.57421875" style="268" customWidth="1"/>
    <col min="8" max="8" width="12.7109375" style="268" customWidth="1"/>
    <col min="9" max="16384" width="9.140625" style="268" customWidth="1"/>
  </cols>
  <sheetData>
    <row r="1" spans="1:7" ht="18">
      <c r="A1" s="246" t="s">
        <v>633</v>
      </c>
      <c r="D1" s="379"/>
      <c r="G1" s="344"/>
    </row>
    <row r="2" spans="1:7" ht="18">
      <c r="A2" s="246"/>
      <c r="D2" s="379"/>
      <c r="G2" s="344"/>
    </row>
    <row r="3" spans="1:10" ht="15">
      <c r="A3" s="230"/>
      <c r="D3" s="379"/>
      <c r="G3" s="347" t="s">
        <v>629</v>
      </c>
      <c r="H3" s="346"/>
      <c r="I3" s="346"/>
      <c r="J3" s="347" t="s">
        <v>634</v>
      </c>
    </row>
    <row r="4" spans="1:10" s="251" customFormat="1" ht="18" customHeight="1">
      <c r="A4" s="247"/>
      <c r="B4" s="248"/>
      <c r="C4" s="247"/>
      <c r="D4" s="348"/>
      <c r="G4" s="347" t="s">
        <v>630</v>
      </c>
      <c r="H4" s="346"/>
      <c r="I4" s="346"/>
      <c r="J4" s="347" t="s">
        <v>567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s="15" customFormat="1" ht="15">
      <c r="A8" s="295">
        <v>1</v>
      </c>
      <c r="B8" s="296" t="s">
        <v>347</v>
      </c>
      <c r="C8" s="296" t="s">
        <v>632</v>
      </c>
      <c r="D8" s="394">
        <v>0.0433912037037037</v>
      </c>
      <c r="E8" s="298">
        <v>1</v>
      </c>
      <c r="F8" s="298">
        <v>30</v>
      </c>
      <c r="G8" s="83">
        <v>0.026111111111111113</v>
      </c>
      <c r="H8" s="352">
        <f aca="true" t="shared" si="0" ref="H8:H41">+D8/G8</f>
        <v>1.661790780141844</v>
      </c>
      <c r="I8" s="15">
        <v>97</v>
      </c>
      <c r="J8" s="393">
        <v>0.02527777777777778</v>
      </c>
    </row>
    <row r="9" spans="1:10" ht="15">
      <c r="A9" s="295">
        <v>2</v>
      </c>
      <c r="B9" s="296" t="s">
        <v>52</v>
      </c>
      <c r="C9" s="296" t="s">
        <v>274</v>
      </c>
      <c r="D9" s="394">
        <v>0.043854166666666666</v>
      </c>
      <c r="E9" s="298">
        <v>2</v>
      </c>
      <c r="F9" s="298">
        <v>29</v>
      </c>
      <c r="G9" s="83">
        <v>0.026550925925925926</v>
      </c>
      <c r="H9" s="352">
        <f t="shared" si="0"/>
        <v>1.6517000871839582</v>
      </c>
      <c r="I9" s="15">
        <v>99</v>
      </c>
      <c r="J9" s="393">
        <v>0.025578703703703704</v>
      </c>
    </row>
    <row r="10" spans="1:10" ht="15">
      <c r="A10" s="299">
        <v>3</v>
      </c>
      <c r="B10" s="300" t="s">
        <v>243</v>
      </c>
      <c r="C10" s="300" t="s">
        <v>275</v>
      </c>
      <c r="D10" s="396">
        <v>0.04711805555555556</v>
      </c>
      <c r="E10" s="302">
        <v>1</v>
      </c>
      <c r="F10" s="302">
        <v>30</v>
      </c>
      <c r="G10" s="83">
        <v>0.02847222222222222</v>
      </c>
      <c r="H10" s="352">
        <f t="shared" si="0"/>
        <v>1.654878048780488</v>
      </c>
      <c r="I10" s="15">
        <v>98</v>
      </c>
      <c r="J10" s="393">
        <v>0.027569444444444445</v>
      </c>
    </row>
    <row r="11" spans="1:10" ht="15">
      <c r="A11" s="303">
        <v>4</v>
      </c>
      <c r="B11" s="304" t="s">
        <v>258</v>
      </c>
      <c r="C11" s="304" t="s">
        <v>257</v>
      </c>
      <c r="D11" s="395">
        <v>0.048171296296296295</v>
      </c>
      <c r="E11" s="306">
        <v>1</v>
      </c>
      <c r="F11" s="306">
        <v>30</v>
      </c>
      <c r="G11" s="83">
        <v>0.028344907407407412</v>
      </c>
      <c r="H11" s="352">
        <f t="shared" si="0"/>
        <v>1.6994691710902405</v>
      </c>
      <c r="I11" s="15">
        <v>93</v>
      </c>
      <c r="J11" s="393">
        <v>0.02776620370370371</v>
      </c>
    </row>
    <row r="12" spans="1:10" s="15" customFormat="1" ht="15">
      <c r="A12" s="303">
        <v>5</v>
      </c>
      <c r="B12" s="304" t="s">
        <v>63</v>
      </c>
      <c r="C12" s="304" t="s">
        <v>64</v>
      </c>
      <c r="D12" s="395">
        <v>0.048321759259259266</v>
      </c>
      <c r="E12" s="306">
        <v>2</v>
      </c>
      <c r="F12" s="306">
        <v>29</v>
      </c>
      <c r="G12" s="83">
        <v>0.028912037037037038</v>
      </c>
      <c r="H12" s="352">
        <f t="shared" si="0"/>
        <v>1.6713370696557248</v>
      </c>
      <c r="I12" s="15">
        <v>96</v>
      </c>
      <c r="J12" s="393">
        <v>0.028148148148148148</v>
      </c>
    </row>
    <row r="13" spans="1:10" s="15" customFormat="1" ht="15">
      <c r="A13" s="303">
        <v>6</v>
      </c>
      <c r="B13" s="304" t="s">
        <v>219</v>
      </c>
      <c r="C13" s="304" t="s">
        <v>388</v>
      </c>
      <c r="D13" s="395">
        <v>0.04939814814814814</v>
      </c>
      <c r="E13" s="306">
        <v>3</v>
      </c>
      <c r="F13" s="306">
        <v>28</v>
      </c>
      <c r="G13" s="83">
        <v>0.028101851851851854</v>
      </c>
      <c r="H13" s="352">
        <f t="shared" si="0"/>
        <v>1.7578253706754527</v>
      </c>
      <c r="I13" s="15">
        <v>83</v>
      </c>
      <c r="J13" s="393">
        <v>0.028101851851851854</v>
      </c>
    </row>
    <row r="14" spans="1:10" s="15" customFormat="1" ht="15">
      <c r="A14" s="307">
        <v>7</v>
      </c>
      <c r="B14" s="308" t="s">
        <v>259</v>
      </c>
      <c r="C14" s="308" t="s">
        <v>256</v>
      </c>
      <c r="D14" s="397">
        <v>0.050972222222222224</v>
      </c>
      <c r="E14" s="310">
        <v>1</v>
      </c>
      <c r="F14" s="310">
        <v>30</v>
      </c>
      <c r="G14" s="83">
        <v>0.028460648148148148</v>
      </c>
      <c r="H14" s="352">
        <f t="shared" si="0"/>
        <v>1.7909719398129322</v>
      </c>
      <c r="I14" s="15">
        <v>79</v>
      </c>
      <c r="J14" s="393">
        <v>0.028715277777777777</v>
      </c>
    </row>
    <row r="15" spans="1:10" s="15" customFormat="1" ht="15">
      <c r="A15" s="299">
        <v>8</v>
      </c>
      <c r="B15" s="300" t="s">
        <v>63</v>
      </c>
      <c r="C15" s="300" t="s">
        <v>110</v>
      </c>
      <c r="D15" s="396">
        <v>0.05174768518518519</v>
      </c>
      <c r="E15" s="302">
        <v>2</v>
      </c>
      <c r="F15" s="302">
        <v>29</v>
      </c>
      <c r="G15" s="83">
        <v>0.03002314814814815</v>
      </c>
      <c r="H15" s="352">
        <f t="shared" si="0"/>
        <v>1.7235929067077873</v>
      </c>
      <c r="I15" s="15">
        <v>90</v>
      </c>
      <c r="J15" s="393">
        <v>0.029641203703703704</v>
      </c>
    </row>
    <row r="16" spans="1:10" ht="15">
      <c r="A16" s="299">
        <v>9</v>
      </c>
      <c r="B16" s="300" t="s">
        <v>187</v>
      </c>
      <c r="C16" s="300" t="s">
        <v>88</v>
      </c>
      <c r="D16" s="396">
        <v>0.053043981481481484</v>
      </c>
      <c r="E16" s="302">
        <v>3</v>
      </c>
      <c r="F16" s="302">
        <v>28</v>
      </c>
      <c r="G16" s="83">
        <v>0.030520833333333334</v>
      </c>
      <c r="H16" s="352">
        <f t="shared" si="0"/>
        <v>1.7379598028062193</v>
      </c>
      <c r="I16" s="15">
        <v>88</v>
      </c>
      <c r="J16" s="393">
        <v>0.030266203703703705</v>
      </c>
    </row>
    <row r="17" spans="1:10" s="15" customFormat="1" ht="15">
      <c r="A17" s="303">
        <v>10</v>
      </c>
      <c r="B17" s="304" t="s">
        <v>316</v>
      </c>
      <c r="C17" s="304" t="s">
        <v>351</v>
      </c>
      <c r="D17" s="395">
        <v>0.05371527777777777</v>
      </c>
      <c r="E17" s="306">
        <v>4</v>
      </c>
      <c r="F17" s="306">
        <v>27</v>
      </c>
      <c r="G17" s="83">
        <v>0.029166666666666664</v>
      </c>
      <c r="H17" s="352">
        <f t="shared" si="0"/>
        <v>1.8416666666666666</v>
      </c>
      <c r="I17" s="15">
        <v>74</v>
      </c>
      <c r="J17" s="393">
        <v>0.029745370370370366</v>
      </c>
    </row>
    <row r="18" spans="1:10" ht="15">
      <c r="A18" s="307">
        <v>11</v>
      </c>
      <c r="B18" s="308" t="s">
        <v>276</v>
      </c>
      <c r="C18" s="308" t="s">
        <v>38</v>
      </c>
      <c r="D18" s="397">
        <v>0.05393518518518519</v>
      </c>
      <c r="E18" s="310">
        <v>2</v>
      </c>
      <c r="F18" s="310">
        <v>29</v>
      </c>
      <c r="G18" s="83">
        <v>0.031886574074074074</v>
      </c>
      <c r="H18" s="352">
        <f t="shared" si="0"/>
        <v>1.6914700544464611</v>
      </c>
      <c r="I18" s="15">
        <v>94</v>
      </c>
      <c r="J18" s="393">
        <v>0.03125</v>
      </c>
    </row>
    <row r="19" spans="1:10" s="15" customFormat="1" ht="15">
      <c r="A19" s="299">
        <v>12</v>
      </c>
      <c r="B19" s="300" t="s">
        <v>219</v>
      </c>
      <c r="C19" s="300" t="s">
        <v>241</v>
      </c>
      <c r="D19" s="396">
        <v>0.05494212962962963</v>
      </c>
      <c r="E19" s="302">
        <v>4</v>
      </c>
      <c r="F19" s="302">
        <v>27</v>
      </c>
      <c r="G19" s="83">
        <v>0.031261574074074074</v>
      </c>
      <c r="H19" s="352">
        <f t="shared" si="0"/>
        <v>1.757497223250648</v>
      </c>
      <c r="I19" s="15">
        <v>84</v>
      </c>
      <c r="J19" s="393">
        <v>0.031261574074074074</v>
      </c>
    </row>
    <row r="20" spans="1:10" ht="15">
      <c r="A20" s="299">
        <v>13</v>
      </c>
      <c r="B20" s="300" t="s">
        <v>353</v>
      </c>
      <c r="C20" s="300" t="s">
        <v>95</v>
      </c>
      <c r="D20" s="396">
        <v>0.05560185185185185</v>
      </c>
      <c r="E20" s="302">
        <v>5</v>
      </c>
      <c r="F20" s="302">
        <v>26</v>
      </c>
      <c r="G20" s="83">
        <v>0.030983796296296297</v>
      </c>
      <c r="H20" s="352">
        <f t="shared" si="0"/>
        <v>1.7945461337317892</v>
      </c>
      <c r="I20" s="15">
        <v>78</v>
      </c>
      <c r="J20" s="393">
        <v>0.031307870370370375</v>
      </c>
    </row>
    <row r="21" spans="1:10" s="15" customFormat="1" ht="15">
      <c r="A21" s="299">
        <v>14</v>
      </c>
      <c r="B21" s="300" t="s">
        <v>321</v>
      </c>
      <c r="C21" s="300" t="s">
        <v>132</v>
      </c>
      <c r="D21" s="396">
        <v>0.0567824074074074</v>
      </c>
      <c r="E21" s="302">
        <v>6</v>
      </c>
      <c r="F21" s="302">
        <v>25</v>
      </c>
      <c r="G21" s="83">
        <v>0.029155092592592594</v>
      </c>
      <c r="H21" s="352">
        <f t="shared" si="0"/>
        <v>1.9475982532751088</v>
      </c>
      <c r="I21" s="15">
        <v>69</v>
      </c>
      <c r="J21" s="393">
        <v>0.03005787037037037</v>
      </c>
    </row>
    <row r="22" spans="1:10" s="15" customFormat="1" ht="15">
      <c r="A22" s="307">
        <v>15</v>
      </c>
      <c r="B22" s="308" t="s">
        <v>189</v>
      </c>
      <c r="C22" s="308" t="s">
        <v>162</v>
      </c>
      <c r="D22" s="397">
        <v>0.056851851851851855</v>
      </c>
      <c r="E22" s="310">
        <v>3</v>
      </c>
      <c r="F22" s="310">
        <v>28</v>
      </c>
      <c r="G22" s="83">
        <v>0.03236111111111111</v>
      </c>
      <c r="H22" s="352">
        <f t="shared" si="0"/>
        <v>1.7567954220314737</v>
      </c>
      <c r="I22" s="15">
        <v>85</v>
      </c>
      <c r="J22" s="393">
        <v>0.03229166666666667</v>
      </c>
    </row>
    <row r="23" spans="1:10" s="15" customFormat="1" ht="15">
      <c r="A23" s="299">
        <v>16</v>
      </c>
      <c r="B23" s="300" t="s">
        <v>115</v>
      </c>
      <c r="C23" s="300" t="s">
        <v>116</v>
      </c>
      <c r="D23" s="396">
        <v>0.05708333333333334</v>
      </c>
      <c r="E23" s="302">
        <v>7</v>
      </c>
      <c r="F23" s="302">
        <v>24</v>
      </c>
      <c r="G23" s="83">
        <v>0.033483796296296296</v>
      </c>
      <c r="H23" s="352">
        <f t="shared" si="0"/>
        <v>1.7048047010024199</v>
      </c>
      <c r="I23" s="15">
        <v>92</v>
      </c>
      <c r="J23" s="393">
        <v>0.03297453703703704</v>
      </c>
    </row>
    <row r="24" spans="1:10" ht="15">
      <c r="A24" s="307">
        <v>17</v>
      </c>
      <c r="B24" s="308" t="s">
        <v>103</v>
      </c>
      <c r="C24" s="308" t="s">
        <v>104</v>
      </c>
      <c r="D24" s="397">
        <v>0.057291666666666664</v>
      </c>
      <c r="E24" s="310">
        <v>4</v>
      </c>
      <c r="F24" s="310">
        <v>27</v>
      </c>
      <c r="G24" s="83">
        <v>0.030891203703703702</v>
      </c>
      <c r="H24" s="352">
        <f t="shared" si="0"/>
        <v>1.8546272011989509</v>
      </c>
      <c r="I24" s="15">
        <v>72</v>
      </c>
      <c r="J24" s="393">
        <v>0.03159722222222222</v>
      </c>
    </row>
    <row r="25" spans="1:10" s="15" customFormat="1" ht="15">
      <c r="A25" s="307">
        <v>18</v>
      </c>
      <c r="B25" s="308" t="s">
        <v>220</v>
      </c>
      <c r="C25" s="308" t="s">
        <v>122</v>
      </c>
      <c r="D25" s="397">
        <v>0.05780092592592593</v>
      </c>
      <c r="E25" s="310">
        <v>5</v>
      </c>
      <c r="F25" s="310">
        <v>26</v>
      </c>
      <c r="G25" s="83">
        <v>0.03229166666666667</v>
      </c>
      <c r="H25" s="352">
        <f t="shared" si="0"/>
        <v>1.7899641577060932</v>
      </c>
      <c r="I25" s="15">
        <v>80</v>
      </c>
      <c r="J25" s="393">
        <v>0.03248842592592593</v>
      </c>
    </row>
    <row r="26" spans="1:10" s="15" customFormat="1" ht="15">
      <c r="A26" s="256">
        <v>19</v>
      </c>
      <c r="B26" s="257" t="s">
        <v>518</v>
      </c>
      <c r="C26" s="257" t="s">
        <v>178</v>
      </c>
      <c r="D26" s="398">
        <v>0.057812499999999996</v>
      </c>
      <c r="E26" s="312">
        <v>1</v>
      </c>
      <c r="F26" s="312">
        <v>30</v>
      </c>
      <c r="G26" s="83">
        <v>0.034212962962962966</v>
      </c>
      <c r="H26" s="352">
        <f t="shared" si="0"/>
        <v>1.68978349120433</v>
      </c>
      <c r="I26" s="15">
        <v>95</v>
      </c>
      <c r="J26" s="393">
        <v>0.03350694444444445</v>
      </c>
    </row>
    <row r="27" spans="1:10" s="15" customFormat="1" ht="15">
      <c r="A27" s="299">
        <v>20</v>
      </c>
      <c r="B27" s="300" t="s">
        <v>117</v>
      </c>
      <c r="C27" s="300" t="s">
        <v>118</v>
      </c>
      <c r="D27" s="396">
        <v>0.059456018518518526</v>
      </c>
      <c r="E27" s="302">
        <v>8</v>
      </c>
      <c r="F27" s="302">
        <v>23</v>
      </c>
      <c r="G27" s="83">
        <v>0.032685185185185185</v>
      </c>
      <c r="H27" s="352">
        <f t="shared" si="0"/>
        <v>1.8190509915014166</v>
      </c>
      <c r="I27" s="15">
        <v>75</v>
      </c>
      <c r="J27" s="393">
        <v>0.03319444444444444</v>
      </c>
    </row>
    <row r="28" spans="1:10" s="15" customFormat="1" ht="15">
      <c r="A28" s="256">
        <v>21</v>
      </c>
      <c r="B28" s="257" t="s">
        <v>468</v>
      </c>
      <c r="C28" s="257" t="s">
        <v>359</v>
      </c>
      <c r="D28" s="398">
        <v>0.06054398148148148</v>
      </c>
      <c r="E28" s="312">
        <v>2</v>
      </c>
      <c r="F28" s="312">
        <v>29</v>
      </c>
      <c r="G28" s="83">
        <v>0.03517361111111111</v>
      </c>
      <c r="H28" s="352">
        <f t="shared" si="0"/>
        <v>1.721289897992761</v>
      </c>
      <c r="I28" s="15">
        <v>91</v>
      </c>
      <c r="J28" s="393">
        <v>0.03472222222222222</v>
      </c>
    </row>
    <row r="29" spans="1:10" s="15" customFormat="1" ht="15">
      <c r="A29" s="307">
        <v>22</v>
      </c>
      <c r="B29" s="308" t="s">
        <v>413</v>
      </c>
      <c r="C29" s="308" t="s">
        <v>137</v>
      </c>
      <c r="D29" s="397">
        <v>0.06289351851851853</v>
      </c>
      <c r="E29" s="310">
        <v>6</v>
      </c>
      <c r="F29" s="310">
        <v>25</v>
      </c>
      <c r="G29" s="83">
        <v>0.03459490740740741</v>
      </c>
      <c r="H29" s="352">
        <f t="shared" si="0"/>
        <v>1.8179993308798932</v>
      </c>
      <c r="I29" s="15">
        <v>76</v>
      </c>
      <c r="J29" s="393">
        <v>0.0350462962962963</v>
      </c>
    </row>
    <row r="30" spans="1:10" ht="15">
      <c r="A30" s="256">
        <v>23</v>
      </c>
      <c r="B30" s="257" t="s">
        <v>103</v>
      </c>
      <c r="C30" s="257" t="s">
        <v>151</v>
      </c>
      <c r="D30" s="398">
        <v>0.06466435185185186</v>
      </c>
      <c r="E30" s="312">
        <v>3</v>
      </c>
      <c r="F30" s="312">
        <v>28</v>
      </c>
      <c r="G30" s="83">
        <v>0.03704861111111111</v>
      </c>
      <c r="H30" s="352">
        <f t="shared" si="0"/>
        <v>1.7453920649796941</v>
      </c>
      <c r="I30" s="15">
        <v>87</v>
      </c>
      <c r="J30" s="393">
        <v>0.03685185185185185</v>
      </c>
    </row>
    <row r="31" spans="1:10" s="15" customFormat="1" ht="15">
      <c r="A31" s="256">
        <v>24</v>
      </c>
      <c r="B31" s="257" t="s">
        <v>321</v>
      </c>
      <c r="C31" s="257" t="s">
        <v>190</v>
      </c>
      <c r="D31" s="398">
        <v>0.06554398148148148</v>
      </c>
      <c r="E31" s="312">
        <v>4</v>
      </c>
      <c r="F31" s="312">
        <v>27</v>
      </c>
      <c r="G31" s="83">
        <v>0.03775462962962963</v>
      </c>
      <c r="H31" s="352">
        <f t="shared" si="0"/>
        <v>1.7360515021459226</v>
      </c>
      <c r="I31" s="15">
        <v>89</v>
      </c>
      <c r="J31" s="393">
        <v>0.03743055555555556</v>
      </c>
    </row>
    <row r="32" spans="1:10" s="15" customFormat="1" ht="15">
      <c r="A32" s="299">
        <v>25</v>
      </c>
      <c r="B32" s="300" t="s">
        <v>342</v>
      </c>
      <c r="C32" s="300" t="s">
        <v>341</v>
      </c>
      <c r="D32" s="396">
        <v>0.06596064814814816</v>
      </c>
      <c r="E32" s="302">
        <v>9</v>
      </c>
      <c r="F32" s="302">
        <v>22</v>
      </c>
      <c r="G32" s="83">
        <v>0.03326388888888889</v>
      </c>
      <c r="H32" s="352">
        <f t="shared" si="0"/>
        <v>1.9829505915100907</v>
      </c>
      <c r="I32" s="15">
        <v>68</v>
      </c>
      <c r="J32" s="393">
        <v>0.03423611111111111</v>
      </c>
    </row>
    <row r="33" spans="1:10" ht="15">
      <c r="A33" s="317">
        <v>26</v>
      </c>
      <c r="B33" s="318" t="s">
        <v>507</v>
      </c>
      <c r="C33" s="318" t="s">
        <v>178</v>
      </c>
      <c r="D33" s="319">
        <v>0.07164351851851852</v>
      </c>
      <c r="E33" s="320">
        <v>1</v>
      </c>
      <c r="F33" s="320">
        <v>30</v>
      </c>
      <c r="G33" s="83">
        <v>0.0453587962962963</v>
      </c>
      <c r="H33" s="352">
        <f t="shared" si="0"/>
        <v>1.5794845623883644</v>
      </c>
      <c r="I33" s="15">
        <v>100</v>
      </c>
      <c r="J33" s="393">
        <v>0.04431712962962963</v>
      </c>
    </row>
    <row r="34" spans="1:10" s="15" customFormat="1" ht="15">
      <c r="A34" s="256">
        <v>27</v>
      </c>
      <c r="B34" s="257" t="s">
        <v>52</v>
      </c>
      <c r="C34" s="257" t="s">
        <v>178</v>
      </c>
      <c r="D34" s="398">
        <v>0.07165509259259259</v>
      </c>
      <c r="E34" s="312">
        <v>5</v>
      </c>
      <c r="F34" s="312">
        <v>26</v>
      </c>
      <c r="G34" s="83">
        <v>0.03784722222222222</v>
      </c>
      <c r="H34" s="352">
        <f t="shared" si="0"/>
        <v>1.8932721712538227</v>
      </c>
      <c r="I34" s="15">
        <v>70</v>
      </c>
      <c r="J34" s="393">
        <v>0.03868055555555555</v>
      </c>
    </row>
    <row r="35" spans="1:10" s="15" customFormat="1" ht="15">
      <c r="A35" s="317">
        <v>28</v>
      </c>
      <c r="B35" s="318" t="s">
        <v>218</v>
      </c>
      <c r="C35" s="318" t="s">
        <v>292</v>
      </c>
      <c r="D35" s="319">
        <v>0.07290509259259259</v>
      </c>
      <c r="E35" s="320">
        <v>2</v>
      </c>
      <c r="F35" s="320">
        <v>29</v>
      </c>
      <c r="G35" s="83">
        <v>0.04141203703703704</v>
      </c>
      <c r="H35" s="352">
        <f t="shared" si="0"/>
        <v>1.7604807154835103</v>
      </c>
      <c r="I35" s="15">
        <v>82</v>
      </c>
      <c r="J35" s="393">
        <v>0.04148148148148148</v>
      </c>
    </row>
    <row r="36" spans="1:10" s="15" customFormat="1" ht="15">
      <c r="A36" s="313">
        <v>29</v>
      </c>
      <c r="B36" s="314" t="s">
        <v>379</v>
      </c>
      <c r="C36" s="314" t="s">
        <v>341</v>
      </c>
      <c r="D36" s="399">
        <v>0.07369212962962964</v>
      </c>
      <c r="E36" s="316">
        <v>1</v>
      </c>
      <c r="F36" s="316">
        <v>30</v>
      </c>
      <c r="G36" s="83">
        <v>0.040011574074074074</v>
      </c>
      <c r="H36" s="352">
        <f t="shared" si="0"/>
        <v>1.8417703210876484</v>
      </c>
      <c r="I36" s="15">
        <v>73</v>
      </c>
      <c r="J36" s="393">
        <v>0.04064814814814815</v>
      </c>
    </row>
    <row r="37" spans="1:10" s="15" customFormat="1" ht="15">
      <c r="A37" s="317">
        <v>30</v>
      </c>
      <c r="B37" s="318" t="s">
        <v>239</v>
      </c>
      <c r="C37" s="318" t="s">
        <v>240</v>
      </c>
      <c r="D37" s="319">
        <v>0.07380787037037037</v>
      </c>
      <c r="E37" s="320">
        <v>3</v>
      </c>
      <c r="F37" s="320">
        <v>28</v>
      </c>
      <c r="G37" s="83">
        <v>0.04133101851851852</v>
      </c>
      <c r="H37" s="352">
        <f t="shared" si="0"/>
        <v>1.7857742929151499</v>
      </c>
      <c r="I37" s="15">
        <v>81</v>
      </c>
      <c r="J37" s="393">
        <v>0.04145833333333333</v>
      </c>
    </row>
    <row r="38" spans="1:10" s="15" customFormat="1" ht="15">
      <c r="A38" s="313">
        <v>31</v>
      </c>
      <c r="B38" s="314" t="s">
        <v>191</v>
      </c>
      <c r="C38" s="314" t="s">
        <v>192</v>
      </c>
      <c r="D38" s="399">
        <v>0.07689814814814815</v>
      </c>
      <c r="E38" s="316">
        <v>2</v>
      </c>
      <c r="F38" s="316">
        <v>29</v>
      </c>
      <c r="G38" s="83">
        <v>0.040879629629629634</v>
      </c>
      <c r="H38" s="352">
        <f t="shared" si="0"/>
        <v>1.8810872027180066</v>
      </c>
      <c r="I38" s="15">
        <v>71</v>
      </c>
      <c r="J38" s="393">
        <v>0.041643518518518524</v>
      </c>
    </row>
    <row r="39" spans="1:10" ht="15">
      <c r="A39" s="317">
        <v>32</v>
      </c>
      <c r="B39" s="318" t="s">
        <v>390</v>
      </c>
      <c r="C39" s="318" t="s">
        <v>207</v>
      </c>
      <c r="D39" s="319">
        <v>0.07694444444444444</v>
      </c>
      <c r="E39" s="320">
        <v>4</v>
      </c>
      <c r="F39" s="320">
        <v>27</v>
      </c>
      <c r="G39" s="83">
        <v>0.043854166666666666</v>
      </c>
      <c r="H39" s="352">
        <f t="shared" si="0"/>
        <v>1.7545526524148851</v>
      </c>
      <c r="I39" s="15">
        <v>86</v>
      </c>
      <c r="J39" s="393">
        <v>0.04372685185185185</v>
      </c>
    </row>
    <row r="40" spans="1:10" ht="15">
      <c r="A40" s="317">
        <v>33</v>
      </c>
      <c r="B40" s="318" t="s">
        <v>265</v>
      </c>
      <c r="C40" s="318" t="s">
        <v>264</v>
      </c>
      <c r="D40" s="319">
        <v>0.07712962962962963</v>
      </c>
      <c r="E40" s="320">
        <v>5</v>
      </c>
      <c r="F40" s="320">
        <v>26</v>
      </c>
      <c r="G40" s="83">
        <v>0.0428587962962963</v>
      </c>
      <c r="H40" s="352">
        <f t="shared" si="0"/>
        <v>1.7996219281663517</v>
      </c>
      <c r="I40" s="15">
        <v>77</v>
      </c>
      <c r="J40" s="393">
        <v>0.04324074074074074</v>
      </c>
    </row>
    <row r="41" spans="1:10" s="15" customFormat="1" ht="15">
      <c r="A41" s="313">
        <v>34</v>
      </c>
      <c r="B41" s="314" t="s">
        <v>255</v>
      </c>
      <c r="C41" s="314" t="s">
        <v>240</v>
      </c>
      <c r="D41" s="399">
        <v>0.08681712962962963</v>
      </c>
      <c r="E41" s="316">
        <v>3</v>
      </c>
      <c r="F41" s="316">
        <v>28</v>
      </c>
      <c r="G41" s="83">
        <v>0.041493055555555554</v>
      </c>
      <c r="H41" s="352">
        <f t="shared" si="0"/>
        <v>2.0923291492329152</v>
      </c>
      <c r="I41" s="15">
        <v>67</v>
      </c>
      <c r="J41" s="393">
        <v>0.042534722222222224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PageLayoutView="0" workbookViewId="0" topLeftCell="A2">
      <selection activeCell="L18" sqref="L18"/>
    </sheetView>
  </sheetViews>
  <sheetFormatPr defaultColWidth="9.140625" defaultRowHeight="15"/>
  <cols>
    <col min="1" max="1" width="10.57421875" style="230" customWidth="1"/>
    <col min="2" max="2" width="10.7109375" style="0" bestFit="1" customWidth="1"/>
    <col min="3" max="3" width="11.00390625" style="0" bestFit="1" customWidth="1"/>
    <col min="4" max="4" width="13.57421875" style="230" bestFit="1" customWidth="1"/>
    <col min="5" max="5" width="13.57421875" style="230" customWidth="1"/>
    <col min="6" max="7" width="13.57421875" style="0" bestFit="1" customWidth="1"/>
    <col min="8" max="8" width="13.57421875" style="0" customWidth="1"/>
    <col min="9" max="9" width="13.57421875" style="0" bestFit="1" customWidth="1"/>
    <col min="12" max="12" width="12.28125" style="15" bestFit="1" customWidth="1"/>
    <col min="13" max="13" width="12.7109375" style="15" bestFit="1" customWidth="1"/>
    <col min="14" max="14" width="9.57421875" style="15" bestFit="1" customWidth="1"/>
    <col min="15" max="16" width="9.140625" style="15" customWidth="1"/>
    <col min="17" max="17" width="3.7109375" style="314" customWidth="1"/>
    <col min="18" max="18" width="13.57421875" style="83" hidden="1" customWidth="1"/>
    <col min="19" max="21" width="0" style="0" hidden="1" customWidth="1"/>
  </cols>
  <sheetData>
    <row r="1" spans="1:18" ht="18">
      <c r="A1" s="246" t="s">
        <v>628</v>
      </c>
      <c r="F1" s="379"/>
      <c r="G1" s="379"/>
      <c r="H1" s="379"/>
      <c r="I1" s="379"/>
      <c r="R1" s="344"/>
    </row>
    <row r="2" spans="1:18" ht="18">
      <c r="A2" s="246"/>
      <c r="F2" s="379"/>
      <c r="G2" s="379"/>
      <c r="H2" s="379"/>
      <c r="I2" s="379"/>
      <c r="R2" s="344"/>
    </row>
    <row r="3" spans="6:21" ht="15">
      <c r="F3" s="379"/>
      <c r="G3" s="379"/>
      <c r="H3" s="379"/>
      <c r="I3" s="379"/>
      <c r="L3" s="347" t="s">
        <v>612</v>
      </c>
      <c r="M3" s="346"/>
      <c r="N3" s="346"/>
      <c r="O3" s="347" t="s">
        <v>629</v>
      </c>
      <c r="R3" s="347"/>
      <c r="S3" s="346"/>
      <c r="T3" s="346"/>
      <c r="U3" s="347"/>
    </row>
    <row r="4" spans="1:21" s="251" customFormat="1" ht="18" customHeight="1">
      <c r="A4" s="247"/>
      <c r="B4" s="248"/>
      <c r="C4" s="247"/>
      <c r="D4" s="247"/>
      <c r="E4" s="247"/>
      <c r="F4" s="348"/>
      <c r="G4" s="348"/>
      <c r="H4" s="348"/>
      <c r="I4" s="348"/>
      <c r="L4" s="347" t="s">
        <v>284</v>
      </c>
      <c r="M4" s="346"/>
      <c r="N4" s="346"/>
      <c r="O4" s="347" t="s">
        <v>630</v>
      </c>
      <c r="Q4" s="34"/>
      <c r="R4" s="347" t="s">
        <v>610</v>
      </c>
      <c r="S4" s="346"/>
      <c r="T4" s="346"/>
      <c r="U4" s="347" t="s">
        <v>13</v>
      </c>
    </row>
    <row r="5" spans="1:21" s="251" customFormat="1" ht="18" customHeight="1">
      <c r="A5" s="246"/>
      <c r="B5" s="248"/>
      <c r="C5" s="247"/>
      <c r="D5" s="247"/>
      <c r="E5" s="247"/>
      <c r="F5" s="347"/>
      <c r="G5" s="347" t="s">
        <v>616</v>
      </c>
      <c r="H5" s="347"/>
      <c r="I5" s="347" t="s">
        <v>227</v>
      </c>
      <c r="L5" s="345" t="s">
        <v>454</v>
      </c>
      <c r="M5" s="346"/>
      <c r="N5" s="346"/>
      <c r="O5" s="345" t="s">
        <v>454</v>
      </c>
      <c r="Q5" s="34"/>
      <c r="R5" s="345" t="s">
        <v>454</v>
      </c>
      <c r="S5" s="346"/>
      <c r="T5" s="346"/>
      <c r="U5" s="345" t="s">
        <v>454</v>
      </c>
    </row>
    <row r="6" spans="1:21" s="350" customFormat="1" ht="15">
      <c r="A6" s="82" t="s">
        <v>227</v>
      </c>
      <c r="B6" s="248"/>
      <c r="C6" s="248"/>
      <c r="D6" s="438" t="s">
        <v>610</v>
      </c>
      <c r="E6" s="438" t="s">
        <v>612</v>
      </c>
      <c r="F6" s="347" t="s">
        <v>610</v>
      </c>
      <c r="G6" s="347" t="s">
        <v>610</v>
      </c>
      <c r="H6" s="347" t="s">
        <v>612</v>
      </c>
      <c r="I6" s="347" t="s">
        <v>490</v>
      </c>
      <c r="L6" s="345" t="s">
        <v>477</v>
      </c>
      <c r="M6" s="347" t="s">
        <v>477</v>
      </c>
      <c r="N6" s="347" t="s">
        <v>477</v>
      </c>
      <c r="O6" s="345" t="s">
        <v>477</v>
      </c>
      <c r="P6" s="251"/>
      <c r="Q6" s="34"/>
      <c r="R6" s="345" t="s">
        <v>477</v>
      </c>
      <c r="S6" s="347" t="s">
        <v>477</v>
      </c>
      <c r="T6" s="347" t="s">
        <v>477</v>
      </c>
      <c r="U6" s="345" t="s">
        <v>477</v>
      </c>
    </row>
    <row r="7" spans="1:21" s="350" customFormat="1" ht="15">
      <c r="A7" s="254" t="s">
        <v>20</v>
      </c>
      <c r="B7" s="254" t="s">
        <v>17</v>
      </c>
      <c r="C7" s="254" t="s">
        <v>18</v>
      </c>
      <c r="D7" s="82" t="s">
        <v>20</v>
      </c>
      <c r="E7" s="82" t="s">
        <v>20</v>
      </c>
      <c r="F7" s="349" t="s">
        <v>349</v>
      </c>
      <c r="G7" s="349" t="s">
        <v>349</v>
      </c>
      <c r="H7" s="349" t="s">
        <v>349</v>
      </c>
      <c r="I7" s="349" t="s">
        <v>349</v>
      </c>
      <c r="J7" s="80" t="s">
        <v>20</v>
      </c>
      <c r="K7" s="80" t="s">
        <v>216</v>
      </c>
      <c r="L7" s="345" t="s">
        <v>349</v>
      </c>
      <c r="M7" s="347" t="s">
        <v>478</v>
      </c>
      <c r="N7" s="351" t="s">
        <v>216</v>
      </c>
      <c r="O7" s="345" t="s">
        <v>349</v>
      </c>
      <c r="P7" s="80"/>
      <c r="Q7" s="424"/>
      <c r="R7" s="345" t="s">
        <v>349</v>
      </c>
      <c r="S7" s="347" t="s">
        <v>478</v>
      </c>
      <c r="T7" s="351" t="s">
        <v>216</v>
      </c>
      <c r="U7" s="345" t="s">
        <v>349</v>
      </c>
    </row>
    <row r="8" spans="1:21" ht="15">
      <c r="A8" s="295">
        <v>1</v>
      </c>
      <c r="B8" s="296" t="s">
        <v>309</v>
      </c>
      <c r="C8" s="296" t="s">
        <v>308</v>
      </c>
      <c r="D8" s="295">
        <v>1</v>
      </c>
      <c r="E8" s="295"/>
      <c r="F8" s="394">
        <v>0.07255787037037037</v>
      </c>
      <c r="G8" s="394">
        <f aca="true" t="shared" si="0" ref="G8:G20">+F8/1.38</f>
        <v>0.052578166935051</v>
      </c>
      <c r="H8" s="394"/>
      <c r="I8" s="394">
        <f aca="true" t="shared" si="1" ref="I8:I48">MIN(H8,G8)</f>
        <v>0.052578166935051</v>
      </c>
      <c r="J8" s="298">
        <v>1</v>
      </c>
      <c r="K8" s="298">
        <v>30</v>
      </c>
      <c r="L8" s="440"/>
      <c r="M8" s="440"/>
      <c r="N8" s="440"/>
      <c r="O8" s="440"/>
      <c r="P8" s="440"/>
      <c r="Q8" s="425"/>
      <c r="R8" s="83">
        <v>0.023854166666666666</v>
      </c>
      <c r="S8" s="352">
        <f aca="true" t="shared" si="2" ref="S8:S20">+F8/R8</f>
        <v>3.041727316836487</v>
      </c>
      <c r="T8" s="15">
        <v>99</v>
      </c>
      <c r="U8" s="393">
        <v>0.022881944444444444</v>
      </c>
    </row>
    <row r="9" spans="1:21" ht="15">
      <c r="A9" s="295">
        <v>2</v>
      </c>
      <c r="B9" s="296" t="s">
        <v>427</v>
      </c>
      <c r="C9" s="296" t="s">
        <v>426</v>
      </c>
      <c r="D9" s="295">
        <v>2</v>
      </c>
      <c r="E9" s="295"/>
      <c r="F9" s="394">
        <v>0.07546296296296297</v>
      </c>
      <c r="G9" s="394">
        <f t="shared" si="0"/>
        <v>0.054683306494900705</v>
      </c>
      <c r="H9" s="394"/>
      <c r="I9" s="394">
        <f t="shared" si="1"/>
        <v>0.054683306494900705</v>
      </c>
      <c r="J9" s="298">
        <v>2</v>
      </c>
      <c r="K9" s="298">
        <v>29</v>
      </c>
      <c r="L9" s="440"/>
      <c r="M9" s="440"/>
      <c r="N9" s="440"/>
      <c r="O9" s="440"/>
      <c r="P9" s="440"/>
      <c r="Q9" s="425"/>
      <c r="R9" s="83">
        <v>0.02476851851851852</v>
      </c>
      <c r="S9" s="352">
        <f t="shared" si="2"/>
        <v>3.046728971962617</v>
      </c>
      <c r="T9" s="15">
        <v>98</v>
      </c>
      <c r="U9" s="393">
        <v>0.023865740740740743</v>
      </c>
    </row>
    <row r="10" spans="1:21" ht="15">
      <c r="A10" s="295">
        <v>3</v>
      </c>
      <c r="B10" s="296" t="s">
        <v>33</v>
      </c>
      <c r="C10" s="296" t="s">
        <v>34</v>
      </c>
      <c r="D10" s="295">
        <v>3</v>
      </c>
      <c r="E10" s="295"/>
      <c r="F10" s="394">
        <v>0.07599537037037037</v>
      </c>
      <c r="G10" s="394">
        <f t="shared" si="0"/>
        <v>0.0550691089640365</v>
      </c>
      <c r="H10" s="394"/>
      <c r="I10" s="394">
        <f t="shared" si="1"/>
        <v>0.0550691089640365</v>
      </c>
      <c r="J10" s="298">
        <v>3</v>
      </c>
      <c r="K10" s="298">
        <v>28</v>
      </c>
      <c r="L10" s="440"/>
      <c r="M10" s="440"/>
      <c r="N10" s="440"/>
      <c r="O10" s="440"/>
      <c r="P10" s="440"/>
      <c r="Q10" s="425"/>
      <c r="R10" s="83">
        <v>0.02443287037037037</v>
      </c>
      <c r="S10" s="352">
        <f t="shared" si="2"/>
        <v>3.1103742302226434</v>
      </c>
      <c r="T10" s="15">
        <v>94</v>
      </c>
      <c r="U10" s="393">
        <v>0.023831018518518515</v>
      </c>
    </row>
    <row r="11" spans="1:21" ht="15">
      <c r="A11" s="295">
        <v>4</v>
      </c>
      <c r="B11" s="296" t="s">
        <v>218</v>
      </c>
      <c r="C11" s="296" t="s">
        <v>30</v>
      </c>
      <c r="D11" s="295">
        <v>4</v>
      </c>
      <c r="E11" s="295"/>
      <c r="F11" s="394">
        <v>0.07634259259259259</v>
      </c>
      <c r="G11" s="394">
        <f t="shared" si="0"/>
        <v>0.055320719269994635</v>
      </c>
      <c r="H11" s="394"/>
      <c r="I11" s="394">
        <f t="shared" si="1"/>
        <v>0.055320719269994635</v>
      </c>
      <c r="J11" s="298">
        <v>4</v>
      </c>
      <c r="K11" s="298">
        <v>27</v>
      </c>
      <c r="L11" s="440"/>
      <c r="M11" s="440"/>
      <c r="N11" s="440"/>
      <c r="O11" s="440"/>
      <c r="P11" s="440"/>
      <c r="Q11" s="425"/>
      <c r="R11" s="83">
        <v>0.023668981481481485</v>
      </c>
      <c r="S11" s="352">
        <f t="shared" si="2"/>
        <v>3.225427872860635</v>
      </c>
      <c r="T11" s="15">
        <v>89</v>
      </c>
      <c r="U11" s="393">
        <v>0.023449074074074077</v>
      </c>
    </row>
    <row r="12" spans="1:21" s="419" customFormat="1" ht="15">
      <c r="A12" s="295">
        <v>5</v>
      </c>
      <c r="B12" s="296" t="s">
        <v>31</v>
      </c>
      <c r="C12" s="296" t="s">
        <v>310</v>
      </c>
      <c r="D12" s="295">
        <v>5</v>
      </c>
      <c r="E12" s="295"/>
      <c r="F12" s="394">
        <v>0.07846064814814814</v>
      </c>
      <c r="G12" s="394">
        <f t="shared" si="0"/>
        <v>0.056855542136339234</v>
      </c>
      <c r="H12" s="394"/>
      <c r="I12" s="394">
        <f t="shared" si="1"/>
        <v>0.056855542136339234</v>
      </c>
      <c r="J12" s="298">
        <v>5</v>
      </c>
      <c r="K12" s="298">
        <v>26</v>
      </c>
      <c r="L12" s="440"/>
      <c r="M12" s="440"/>
      <c r="N12" s="440"/>
      <c r="O12" s="440"/>
      <c r="P12" s="440"/>
      <c r="Q12" s="425"/>
      <c r="R12" s="83">
        <v>0.02398148148148148</v>
      </c>
      <c r="S12" s="352">
        <f t="shared" si="2"/>
        <v>3.271718146718147</v>
      </c>
      <c r="T12" s="15">
        <v>86</v>
      </c>
      <c r="U12" s="393">
        <v>0.02398148148148148</v>
      </c>
    </row>
    <row r="13" spans="1:21" ht="15">
      <c r="A13" s="303">
        <v>6</v>
      </c>
      <c r="B13" s="304" t="s">
        <v>568</v>
      </c>
      <c r="C13" s="304" t="s">
        <v>34</v>
      </c>
      <c r="D13" s="303">
        <v>6</v>
      </c>
      <c r="E13" s="303"/>
      <c r="F13" s="395">
        <v>0.07856481481481481</v>
      </c>
      <c r="G13" s="395">
        <f t="shared" si="0"/>
        <v>0.05693102522812668</v>
      </c>
      <c r="H13" s="395"/>
      <c r="I13" s="395">
        <f t="shared" si="1"/>
        <v>0.05693102522812668</v>
      </c>
      <c r="J13" s="306">
        <v>1</v>
      </c>
      <c r="K13" s="306">
        <v>30</v>
      </c>
      <c r="L13" s="439"/>
      <c r="M13" s="439"/>
      <c r="N13" s="439"/>
      <c r="O13" s="439"/>
      <c r="P13" s="439"/>
      <c r="Q13" s="426"/>
      <c r="R13" s="83">
        <v>0.029861111111111113</v>
      </c>
      <c r="S13" s="352">
        <f t="shared" si="2"/>
        <v>2.631007751937984</v>
      </c>
      <c r="T13" s="15">
        <v>100</v>
      </c>
      <c r="U13" s="393">
        <v>0.028819444444444446</v>
      </c>
    </row>
    <row r="14" spans="1:21" ht="15">
      <c r="A14" s="295">
        <v>7</v>
      </c>
      <c r="B14" s="296" t="s">
        <v>347</v>
      </c>
      <c r="C14" s="296" t="s">
        <v>348</v>
      </c>
      <c r="D14" s="295">
        <v>7</v>
      </c>
      <c r="E14" s="295"/>
      <c r="F14" s="394">
        <v>0.07946759259259259</v>
      </c>
      <c r="G14" s="394">
        <f t="shared" si="0"/>
        <v>0.05758521202361782</v>
      </c>
      <c r="H14" s="394"/>
      <c r="I14" s="394">
        <f t="shared" si="1"/>
        <v>0.05758521202361782</v>
      </c>
      <c r="J14" s="298">
        <v>6</v>
      </c>
      <c r="K14" s="298">
        <v>25</v>
      </c>
      <c r="L14" s="440"/>
      <c r="M14" s="440"/>
      <c r="N14" s="440"/>
      <c r="O14" s="440"/>
      <c r="P14" s="440"/>
      <c r="Q14" s="425"/>
      <c r="R14" s="83">
        <v>0.025891203703703704</v>
      </c>
      <c r="S14" s="352">
        <f t="shared" si="2"/>
        <v>3.069289226642825</v>
      </c>
      <c r="T14" s="15">
        <v>97</v>
      </c>
      <c r="U14" s="393">
        <v>0.025069444444444446</v>
      </c>
    </row>
    <row r="15" spans="1:21" ht="15">
      <c r="A15" s="295">
        <v>8</v>
      </c>
      <c r="B15" s="296" t="s">
        <v>408</v>
      </c>
      <c r="C15" s="296" t="s">
        <v>420</v>
      </c>
      <c r="D15" s="295">
        <v>8</v>
      </c>
      <c r="E15" s="295"/>
      <c r="F15" s="394">
        <v>0.08168981481481481</v>
      </c>
      <c r="G15" s="394">
        <f t="shared" si="0"/>
        <v>0.05919551798174987</v>
      </c>
      <c r="H15" s="394"/>
      <c r="I15" s="394">
        <f t="shared" si="1"/>
        <v>0.05919551798174987</v>
      </c>
      <c r="J15" s="298">
        <v>7</v>
      </c>
      <c r="K15" s="298">
        <v>24</v>
      </c>
      <c r="L15" s="440"/>
      <c r="M15" s="440"/>
      <c r="N15" s="440"/>
      <c r="O15" s="440"/>
      <c r="P15" s="440"/>
      <c r="Q15" s="425"/>
      <c r="R15" s="83">
        <v>0.0265625</v>
      </c>
      <c r="S15" s="352">
        <f t="shared" si="2"/>
        <v>3.0753812636165576</v>
      </c>
      <c r="T15" s="15">
        <v>96</v>
      </c>
      <c r="U15" s="393">
        <v>0.025810185185185186</v>
      </c>
    </row>
    <row r="16" spans="1:21" ht="15">
      <c r="A16" s="295">
        <v>9</v>
      </c>
      <c r="B16" s="296" t="s">
        <v>52</v>
      </c>
      <c r="C16" s="296" t="s">
        <v>274</v>
      </c>
      <c r="D16" s="295">
        <v>9</v>
      </c>
      <c r="E16" s="295"/>
      <c r="F16" s="394">
        <v>0.08179398148148148</v>
      </c>
      <c r="G16" s="394">
        <f t="shared" si="0"/>
        <v>0.05927100107353731</v>
      </c>
      <c r="H16" s="394"/>
      <c r="I16" s="394">
        <f t="shared" si="1"/>
        <v>0.05927100107353731</v>
      </c>
      <c r="J16" s="298">
        <v>8</v>
      </c>
      <c r="K16" s="298">
        <v>23</v>
      </c>
      <c r="L16" s="440"/>
      <c r="M16" s="440"/>
      <c r="N16" s="440"/>
      <c r="O16" s="440"/>
      <c r="P16" s="440"/>
      <c r="Q16" s="425"/>
      <c r="R16" s="83">
        <v>0.02638888888888889</v>
      </c>
      <c r="S16" s="352">
        <f t="shared" si="2"/>
        <v>3.0995614035087717</v>
      </c>
      <c r="T16" s="15">
        <v>95</v>
      </c>
      <c r="U16" s="393">
        <v>0.025717592592592594</v>
      </c>
    </row>
    <row r="17" spans="1:21" ht="15">
      <c r="A17" s="295">
        <v>10</v>
      </c>
      <c r="B17" s="296" t="s">
        <v>218</v>
      </c>
      <c r="C17" s="296" t="s">
        <v>232</v>
      </c>
      <c r="D17" s="295">
        <v>10</v>
      </c>
      <c r="E17" s="295"/>
      <c r="F17" s="394">
        <v>0.08291666666666667</v>
      </c>
      <c r="G17" s="394">
        <f t="shared" si="0"/>
        <v>0.060084541062801936</v>
      </c>
      <c r="H17" s="394"/>
      <c r="I17" s="394">
        <f t="shared" si="1"/>
        <v>0.060084541062801936</v>
      </c>
      <c r="J17" s="298">
        <v>9</v>
      </c>
      <c r="K17" s="298">
        <v>22</v>
      </c>
      <c r="L17" s="440"/>
      <c r="M17" s="440"/>
      <c r="N17" s="440"/>
      <c r="O17" s="440"/>
      <c r="P17" s="440"/>
      <c r="Q17" s="425"/>
      <c r="R17" s="83">
        <v>0.026157407407407407</v>
      </c>
      <c r="S17" s="352">
        <f t="shared" si="2"/>
        <v>3.1699115044247788</v>
      </c>
      <c r="T17" s="15">
        <v>92</v>
      </c>
      <c r="U17" s="393">
        <v>0.025706018518518517</v>
      </c>
    </row>
    <row r="18" spans="1:21" ht="15">
      <c r="A18" s="303">
        <v>11</v>
      </c>
      <c r="B18" s="304" t="s">
        <v>219</v>
      </c>
      <c r="C18" s="304" t="s">
        <v>388</v>
      </c>
      <c r="D18" s="303">
        <v>12</v>
      </c>
      <c r="E18" s="303">
        <v>1</v>
      </c>
      <c r="F18" s="395">
        <v>0.09693287037037036</v>
      </c>
      <c r="G18" s="395">
        <f t="shared" si="0"/>
        <v>0.07024121041331187</v>
      </c>
      <c r="H18" s="395">
        <v>0.06560185185185186</v>
      </c>
      <c r="I18" s="395">
        <f t="shared" si="1"/>
        <v>0.06560185185185186</v>
      </c>
      <c r="J18" s="306">
        <v>2</v>
      </c>
      <c r="K18" s="306">
        <v>29</v>
      </c>
      <c r="L18" s="83">
        <v>0.028796296296296296</v>
      </c>
      <c r="M18" s="352">
        <f>+H18/L18</f>
        <v>2.2781350482315115</v>
      </c>
      <c r="N18" s="84">
        <v>98</v>
      </c>
      <c r="O18" s="441">
        <f>+L18-TIME(0,1,0)</f>
        <v>0.02810185185185185</v>
      </c>
      <c r="P18" s="439"/>
      <c r="Q18" s="426"/>
      <c r="R18" s="83">
        <v>0.029027777777777777</v>
      </c>
      <c r="S18" s="352">
        <f t="shared" si="2"/>
        <v>3.3393141945773523</v>
      </c>
      <c r="T18" s="15">
        <v>78</v>
      </c>
      <c r="U18" s="393">
        <v>0.02962962962962963</v>
      </c>
    </row>
    <row r="19" spans="1:21" s="15" customFormat="1" ht="15">
      <c r="A19" s="303">
        <v>12</v>
      </c>
      <c r="B19" s="304" t="s">
        <v>63</v>
      </c>
      <c r="C19" s="304" t="s">
        <v>64</v>
      </c>
      <c r="D19" s="303">
        <v>11</v>
      </c>
      <c r="E19" s="303"/>
      <c r="F19" s="395">
        <v>0.09099537037037037</v>
      </c>
      <c r="G19" s="395">
        <f t="shared" si="0"/>
        <v>0.0659386741814278</v>
      </c>
      <c r="H19" s="395"/>
      <c r="I19" s="395">
        <f t="shared" si="1"/>
        <v>0.0659386741814278</v>
      </c>
      <c r="J19" s="306">
        <v>3</v>
      </c>
      <c r="K19" s="306">
        <v>28</v>
      </c>
      <c r="L19" s="439"/>
      <c r="M19" s="439"/>
      <c r="N19" s="439"/>
      <c r="O19" s="439"/>
      <c r="P19" s="439"/>
      <c r="Q19" s="426"/>
      <c r="R19" s="83">
        <v>0.028310185185185185</v>
      </c>
      <c r="S19" s="352">
        <f t="shared" si="2"/>
        <v>3.2142273098937038</v>
      </c>
      <c r="T19" s="15">
        <v>90</v>
      </c>
      <c r="U19" s="393">
        <v>0.028009259259259258</v>
      </c>
    </row>
    <row r="20" spans="1:21" s="15" customFormat="1" ht="15">
      <c r="A20" s="307">
        <v>13</v>
      </c>
      <c r="B20" s="308" t="s">
        <v>103</v>
      </c>
      <c r="C20" s="308" t="s">
        <v>104</v>
      </c>
      <c r="D20" s="307">
        <v>16</v>
      </c>
      <c r="E20" s="307">
        <v>2</v>
      </c>
      <c r="F20" s="397">
        <v>0.10162037037037037</v>
      </c>
      <c r="G20" s="397">
        <f t="shared" si="0"/>
        <v>0.07363794954374665</v>
      </c>
      <c r="H20" s="397">
        <v>0.07065972222222222</v>
      </c>
      <c r="I20" s="397">
        <f t="shared" si="1"/>
        <v>0.07065972222222222</v>
      </c>
      <c r="J20" s="310">
        <v>1</v>
      </c>
      <c r="K20" s="310">
        <v>30</v>
      </c>
      <c r="L20" s="83">
        <v>0.03193287037037037</v>
      </c>
      <c r="M20" s="352">
        <f>+H20/L20</f>
        <v>2.2127582457412105</v>
      </c>
      <c r="N20" s="84">
        <v>100</v>
      </c>
      <c r="O20" s="441">
        <f>+L20-TIME(0,1,30)</f>
        <v>0.030891203703703702</v>
      </c>
      <c r="P20" s="84"/>
      <c r="Q20" s="316"/>
      <c r="R20" s="83">
        <v>0.0324537037037037</v>
      </c>
      <c r="S20" s="352">
        <f t="shared" si="2"/>
        <v>3.1312410841654783</v>
      </c>
      <c r="T20" s="15">
        <v>93</v>
      </c>
      <c r="U20" s="393">
        <v>0.03193287037037037</v>
      </c>
    </row>
    <row r="21" spans="1:21" s="15" customFormat="1" ht="15">
      <c r="A21" s="299">
        <v>14</v>
      </c>
      <c r="B21" s="300" t="s">
        <v>63</v>
      </c>
      <c r="C21" s="300" t="s">
        <v>110</v>
      </c>
      <c r="D21" s="299"/>
      <c r="E21" s="299">
        <v>3</v>
      </c>
      <c r="F21" s="396"/>
      <c r="G21" s="396"/>
      <c r="H21" s="396">
        <v>0.0709375</v>
      </c>
      <c r="I21" s="396">
        <f t="shared" si="1"/>
        <v>0.0709375</v>
      </c>
      <c r="J21" s="302">
        <v>1</v>
      </c>
      <c r="K21" s="302">
        <v>30</v>
      </c>
      <c r="L21" s="83">
        <v>0.029328703703703704</v>
      </c>
      <c r="M21" s="352">
        <f>+H21/L21</f>
        <v>2.4187056037884767</v>
      </c>
      <c r="N21" s="84">
        <v>90</v>
      </c>
      <c r="O21" s="441">
        <f>+L21+TIME(0,1,0)</f>
        <v>0.03002314814814815</v>
      </c>
      <c r="P21" s="84"/>
      <c r="Q21" s="316"/>
      <c r="R21" s="83"/>
      <c r="S21" s="352"/>
      <c r="U21" s="393"/>
    </row>
    <row r="22" spans="1:21" s="419" customFormat="1" ht="15">
      <c r="A22" s="299">
        <v>15</v>
      </c>
      <c r="B22" s="300" t="s">
        <v>187</v>
      </c>
      <c r="C22" s="300" t="s">
        <v>88</v>
      </c>
      <c r="D22" s="299">
        <v>13</v>
      </c>
      <c r="E22" s="299"/>
      <c r="F22" s="396">
        <v>0.09976851851851852</v>
      </c>
      <c r="G22" s="396">
        <f>+F22/1.38</f>
        <v>0.07229602791196994</v>
      </c>
      <c r="H22" s="396"/>
      <c r="I22" s="396">
        <f t="shared" si="1"/>
        <v>0.07229602791196994</v>
      </c>
      <c r="J22" s="302">
        <v>2</v>
      </c>
      <c r="K22" s="302">
        <v>29</v>
      </c>
      <c r="L22" s="84"/>
      <c r="M22" s="84"/>
      <c r="N22" s="84"/>
      <c r="O22" s="84"/>
      <c r="P22" s="84"/>
      <c r="Q22" s="316"/>
      <c r="R22" s="83">
        <v>0.03045138888888889</v>
      </c>
      <c r="S22" s="352">
        <f>+F22/R22</f>
        <v>3.2763207905739264</v>
      </c>
      <c r="T22" s="15">
        <v>85</v>
      </c>
      <c r="U22" s="393">
        <v>0.030520833333333334</v>
      </c>
    </row>
    <row r="23" spans="1:21" ht="15">
      <c r="A23" s="303">
        <v>16</v>
      </c>
      <c r="B23" s="304" t="s">
        <v>350</v>
      </c>
      <c r="C23" s="304" t="s">
        <v>72</v>
      </c>
      <c r="D23" s="303">
        <v>14</v>
      </c>
      <c r="E23" s="303"/>
      <c r="F23" s="395">
        <v>0.10077546296296297</v>
      </c>
      <c r="G23" s="395">
        <f>+F23/1.38</f>
        <v>0.07302569779924853</v>
      </c>
      <c r="H23" s="395"/>
      <c r="I23" s="395">
        <f t="shared" si="1"/>
        <v>0.07302569779924853</v>
      </c>
      <c r="J23" s="306">
        <v>4</v>
      </c>
      <c r="K23" s="306">
        <v>27</v>
      </c>
      <c r="L23" s="439"/>
      <c r="M23" s="439"/>
      <c r="N23" s="439"/>
      <c r="O23" s="439"/>
      <c r="P23" s="439"/>
      <c r="Q23" s="426"/>
      <c r="R23" s="83">
        <v>0.030208333333333334</v>
      </c>
      <c r="S23" s="352">
        <f>+F23/R23</f>
        <v>3.3360153256704983</v>
      </c>
      <c r="T23" s="15">
        <v>79</v>
      </c>
      <c r="U23" s="393">
        <v>0.03072916666666667</v>
      </c>
    </row>
    <row r="24" spans="1:21" s="15" customFormat="1" ht="15">
      <c r="A24" s="341">
        <v>17</v>
      </c>
      <c r="B24" s="417" t="s">
        <v>613</v>
      </c>
      <c r="C24" s="417" t="s">
        <v>614</v>
      </c>
      <c r="D24" s="341">
        <v>15</v>
      </c>
      <c r="E24" s="341"/>
      <c r="F24" s="83">
        <v>0.1015625</v>
      </c>
      <c r="G24" s="83">
        <f>+F24/1.38</f>
        <v>0.07359601449275363</v>
      </c>
      <c r="H24" s="83"/>
      <c r="I24" s="83">
        <f t="shared" si="1"/>
        <v>0.07359601449275363</v>
      </c>
      <c r="J24" s="84"/>
      <c r="K24" s="84"/>
      <c r="L24" s="84"/>
      <c r="M24" s="84"/>
      <c r="N24" s="84"/>
      <c r="O24" s="84"/>
      <c r="P24" s="84"/>
      <c r="Q24" s="316"/>
      <c r="R24" s="83"/>
      <c r="S24" s="418"/>
      <c r="T24" s="419"/>
      <c r="U24" s="388"/>
    </row>
    <row r="25" spans="1:21" ht="15">
      <c r="A25" s="299">
        <v>18</v>
      </c>
      <c r="B25" s="300" t="s">
        <v>219</v>
      </c>
      <c r="C25" s="300" t="s">
        <v>241</v>
      </c>
      <c r="D25" s="299"/>
      <c r="E25" s="299">
        <v>4</v>
      </c>
      <c r="F25" s="396"/>
      <c r="G25" s="396"/>
      <c r="H25" s="396">
        <v>0.07394675925925925</v>
      </c>
      <c r="I25" s="396">
        <f t="shared" si="1"/>
        <v>0.07394675925925925</v>
      </c>
      <c r="J25" s="302">
        <v>3</v>
      </c>
      <c r="K25" s="302">
        <v>28</v>
      </c>
      <c r="L25" s="83">
        <v>0.03091435185185185</v>
      </c>
      <c r="M25" s="352">
        <f>+H25/L25</f>
        <v>2.391988019468364</v>
      </c>
      <c r="N25" s="84">
        <v>92</v>
      </c>
      <c r="O25" s="441">
        <f>+L25+TIME(0,0,30)</f>
        <v>0.031261574074074074</v>
      </c>
      <c r="P25" s="84"/>
      <c r="Q25" s="316"/>
      <c r="S25" s="352"/>
      <c r="T25" s="15"/>
      <c r="U25" s="393"/>
    </row>
    <row r="26" spans="1:21" ht="15">
      <c r="A26" s="299">
        <v>19</v>
      </c>
      <c r="B26" s="300" t="s">
        <v>63</v>
      </c>
      <c r="C26" s="300" t="s">
        <v>91</v>
      </c>
      <c r="D26" s="299">
        <v>17</v>
      </c>
      <c r="E26" s="299"/>
      <c r="F26" s="396">
        <v>0.1025462962962963</v>
      </c>
      <c r="G26" s="396">
        <f>+F26/1.38</f>
        <v>0.07430891035963501</v>
      </c>
      <c r="H26" s="396"/>
      <c r="I26" s="396">
        <f t="shared" si="1"/>
        <v>0.07430891035963501</v>
      </c>
      <c r="J26" s="302">
        <v>4</v>
      </c>
      <c r="K26" s="302">
        <v>27</v>
      </c>
      <c r="L26" s="84"/>
      <c r="M26" s="84"/>
      <c r="N26" s="84"/>
      <c r="O26" s="84"/>
      <c r="P26" s="84"/>
      <c r="Q26" s="316"/>
      <c r="R26" s="83">
        <v>0.031111111111111107</v>
      </c>
      <c r="S26" s="352">
        <f>+F26/R26</f>
        <v>3.296130952380953</v>
      </c>
      <c r="T26" s="15">
        <v>82</v>
      </c>
      <c r="U26" s="393">
        <v>0.03141203703703703</v>
      </c>
    </row>
    <row r="27" spans="1:21" s="15" customFormat="1" ht="15">
      <c r="A27" s="299">
        <v>20</v>
      </c>
      <c r="B27" s="300" t="s">
        <v>117</v>
      </c>
      <c r="C27" s="300" t="s">
        <v>118</v>
      </c>
      <c r="D27" s="299"/>
      <c r="E27" s="299">
        <v>5</v>
      </c>
      <c r="F27" s="396"/>
      <c r="G27" s="396"/>
      <c r="H27" s="396">
        <v>0.07554398148148149</v>
      </c>
      <c r="I27" s="396">
        <f t="shared" si="1"/>
        <v>0.07554398148148149</v>
      </c>
      <c r="J27" s="302">
        <v>5</v>
      </c>
      <c r="K27" s="302">
        <v>26</v>
      </c>
      <c r="L27" s="83">
        <v>0.033553240740740745</v>
      </c>
      <c r="M27" s="352">
        <f>+H27/L27</f>
        <v>2.251466022766471</v>
      </c>
      <c r="N27" s="84">
        <v>99</v>
      </c>
      <c r="O27" s="441">
        <f>+L27-TIME(0,1,15)</f>
        <v>0.03268518518518519</v>
      </c>
      <c r="P27" s="84"/>
      <c r="Q27" s="316"/>
      <c r="R27" s="83"/>
      <c r="S27" s="352"/>
      <c r="U27" s="393"/>
    </row>
    <row r="28" spans="1:21" s="15" customFormat="1" ht="15">
      <c r="A28" s="307">
        <v>21</v>
      </c>
      <c r="B28" s="308" t="s">
        <v>189</v>
      </c>
      <c r="C28" s="308" t="s">
        <v>162</v>
      </c>
      <c r="D28" s="307">
        <v>18</v>
      </c>
      <c r="E28" s="307"/>
      <c r="F28" s="397">
        <v>0.1061226851851852</v>
      </c>
      <c r="G28" s="397">
        <f aca="true" t="shared" si="3" ref="G28:G33">+F28/1.38</f>
        <v>0.07690049651100377</v>
      </c>
      <c r="H28" s="397"/>
      <c r="I28" s="397">
        <f t="shared" si="1"/>
        <v>0.07690049651100377</v>
      </c>
      <c r="J28" s="310">
        <v>2</v>
      </c>
      <c r="K28" s="310">
        <v>29</v>
      </c>
      <c r="L28" s="84"/>
      <c r="M28" s="84"/>
      <c r="N28" s="84"/>
      <c r="O28" s="84"/>
      <c r="P28" s="84"/>
      <c r="Q28" s="316"/>
      <c r="R28" s="83">
        <v>0.03190972222222222</v>
      </c>
      <c r="S28" s="352">
        <f aca="true" t="shared" si="4" ref="S28:S33">+F28/R28</f>
        <v>3.325716358360537</v>
      </c>
      <c r="T28" s="15">
        <v>80</v>
      </c>
      <c r="U28" s="393">
        <v>0.03236111111111111</v>
      </c>
    </row>
    <row r="29" spans="1:21" ht="15">
      <c r="A29" s="307">
        <v>22</v>
      </c>
      <c r="B29" s="308" t="s">
        <v>63</v>
      </c>
      <c r="C29" s="308" t="s">
        <v>38</v>
      </c>
      <c r="D29" s="307">
        <v>19</v>
      </c>
      <c r="E29" s="307">
        <v>6</v>
      </c>
      <c r="F29" s="397">
        <v>0.10803240740740742</v>
      </c>
      <c r="G29" s="397">
        <f t="shared" si="3"/>
        <v>0.0782843531937735</v>
      </c>
      <c r="H29" s="397">
        <v>0.07820601851851851</v>
      </c>
      <c r="I29" s="397">
        <f t="shared" si="1"/>
        <v>0.07820601851851851</v>
      </c>
      <c r="J29" s="310">
        <v>3</v>
      </c>
      <c r="K29" s="310">
        <v>28</v>
      </c>
      <c r="L29" s="83">
        <v>0.033136574074074075</v>
      </c>
      <c r="M29" s="352">
        <f>+H29/L29</f>
        <v>2.360111770869717</v>
      </c>
      <c r="N29" s="84">
        <v>94</v>
      </c>
      <c r="O29" s="441">
        <f>+L29</f>
        <v>0.033136574074074075</v>
      </c>
      <c r="P29" s="84"/>
      <c r="Q29" s="316"/>
      <c r="R29" s="83">
        <v>0.03320601851851852</v>
      </c>
      <c r="S29" s="352">
        <f t="shared" si="4"/>
        <v>3.253398396653887</v>
      </c>
      <c r="T29" s="15">
        <v>87</v>
      </c>
      <c r="U29" s="393">
        <v>0.033136574074074075</v>
      </c>
    </row>
    <row r="30" spans="1:21" s="15" customFormat="1" ht="15">
      <c r="A30" s="299">
        <v>23</v>
      </c>
      <c r="B30" s="300" t="s">
        <v>115</v>
      </c>
      <c r="C30" s="300" t="s">
        <v>116</v>
      </c>
      <c r="D30" s="299">
        <v>21</v>
      </c>
      <c r="E30" s="299">
        <v>7</v>
      </c>
      <c r="F30" s="396">
        <v>0.11037037037037038</v>
      </c>
      <c r="G30" s="396">
        <f t="shared" si="3"/>
        <v>0.07997852925389158</v>
      </c>
      <c r="H30" s="396">
        <v>0.07921296296296297</v>
      </c>
      <c r="I30" s="396">
        <f t="shared" si="1"/>
        <v>0.07921296296296297</v>
      </c>
      <c r="J30" s="302">
        <v>6</v>
      </c>
      <c r="K30" s="302">
        <v>25</v>
      </c>
      <c r="L30" s="83">
        <v>0.032962962962962965</v>
      </c>
      <c r="M30" s="352">
        <f>+H30/L30</f>
        <v>2.4030898876404496</v>
      </c>
      <c r="N30" s="84">
        <v>91</v>
      </c>
      <c r="O30" s="441">
        <f>+L30+TIME(0,0,45)</f>
        <v>0.033483796296296296</v>
      </c>
      <c r="P30" s="84"/>
      <c r="Q30" s="316"/>
      <c r="R30" s="83">
        <v>0.03234953703703704</v>
      </c>
      <c r="S30" s="352">
        <f t="shared" si="4"/>
        <v>3.41180679785331</v>
      </c>
      <c r="T30" s="15">
        <v>76</v>
      </c>
      <c r="U30" s="393">
        <v>0.033101851851851855</v>
      </c>
    </row>
    <row r="31" spans="1:21" s="15" customFormat="1" ht="15">
      <c r="A31" s="299">
        <v>24</v>
      </c>
      <c r="B31" s="300" t="s">
        <v>220</v>
      </c>
      <c r="C31" s="300" t="s">
        <v>354</v>
      </c>
      <c r="D31" s="299">
        <v>20</v>
      </c>
      <c r="E31" s="299"/>
      <c r="F31" s="396">
        <v>0.109375</v>
      </c>
      <c r="G31" s="396">
        <f t="shared" si="3"/>
        <v>0.0792572463768116</v>
      </c>
      <c r="H31" s="396"/>
      <c r="I31" s="396">
        <f t="shared" si="1"/>
        <v>0.0792572463768116</v>
      </c>
      <c r="J31" s="302">
        <v>7</v>
      </c>
      <c r="K31" s="302">
        <v>24</v>
      </c>
      <c r="L31" s="84"/>
      <c r="M31" s="84"/>
      <c r="N31" s="84"/>
      <c r="O31" s="84"/>
      <c r="P31" s="84"/>
      <c r="Q31" s="316"/>
      <c r="R31" s="83">
        <v>0.031261574074074074</v>
      </c>
      <c r="S31" s="352">
        <f t="shared" si="4"/>
        <v>3.4987041836356907</v>
      </c>
      <c r="T31" s="15">
        <v>74</v>
      </c>
      <c r="U31" s="393">
        <v>0.032164351851851854</v>
      </c>
    </row>
    <row r="32" spans="1:21" s="15" customFormat="1" ht="15">
      <c r="A32" s="256">
        <v>25</v>
      </c>
      <c r="B32" s="257" t="s">
        <v>518</v>
      </c>
      <c r="C32" s="257" t="s">
        <v>178</v>
      </c>
      <c r="D32" s="256">
        <v>22</v>
      </c>
      <c r="E32" s="256"/>
      <c r="F32" s="398">
        <v>0.1129976851851852</v>
      </c>
      <c r="G32" s="398">
        <f t="shared" si="3"/>
        <v>0.08188238056897479</v>
      </c>
      <c r="H32" s="398"/>
      <c r="I32" s="398">
        <f t="shared" si="1"/>
        <v>0.08188238056897479</v>
      </c>
      <c r="J32" s="312">
        <v>1</v>
      </c>
      <c r="K32" s="312">
        <v>30</v>
      </c>
      <c r="L32" s="84"/>
      <c r="M32" s="84"/>
      <c r="N32" s="84"/>
      <c r="O32" s="84"/>
      <c r="P32" s="84"/>
      <c r="Q32" s="316"/>
      <c r="R32" s="83">
        <v>0.034479166666666665</v>
      </c>
      <c r="S32" s="352">
        <f t="shared" si="4"/>
        <v>3.2772742531050696</v>
      </c>
      <c r="T32" s="15">
        <v>84</v>
      </c>
      <c r="U32" s="393">
        <v>0.03462962962962963</v>
      </c>
    </row>
    <row r="33" spans="1:21" ht="15">
      <c r="A33" s="307">
        <v>26</v>
      </c>
      <c r="B33" s="308" t="s">
        <v>413</v>
      </c>
      <c r="C33" s="308" t="s">
        <v>137</v>
      </c>
      <c r="D33" s="307">
        <v>23</v>
      </c>
      <c r="E33" s="307"/>
      <c r="F33" s="397">
        <v>0.1129976851851852</v>
      </c>
      <c r="G33" s="397">
        <f t="shared" si="3"/>
        <v>0.08188238056897479</v>
      </c>
      <c r="H33" s="397"/>
      <c r="I33" s="397">
        <f t="shared" si="1"/>
        <v>0.08188238056897479</v>
      </c>
      <c r="J33" s="310">
        <v>4</v>
      </c>
      <c r="K33" s="310">
        <v>27</v>
      </c>
      <c r="L33" s="84"/>
      <c r="M33" s="84"/>
      <c r="N33" s="84"/>
      <c r="O33" s="84"/>
      <c r="P33" s="84"/>
      <c r="Q33" s="316"/>
      <c r="R33" s="83">
        <v>0.034375</v>
      </c>
      <c r="S33" s="352">
        <f t="shared" si="4"/>
        <v>3.2872053872053875</v>
      </c>
      <c r="T33" s="15">
        <v>83</v>
      </c>
      <c r="U33" s="393">
        <v>0.03459490740740741</v>
      </c>
    </row>
    <row r="34" spans="1:12" ht="15">
      <c r="A34" s="230">
        <v>27</v>
      </c>
      <c r="B34" s="417" t="s">
        <v>574</v>
      </c>
      <c r="C34" s="417" t="s">
        <v>363</v>
      </c>
      <c r="E34" s="341">
        <v>8</v>
      </c>
      <c r="H34" s="83">
        <v>0.08274305555555556</v>
      </c>
      <c r="I34" s="83">
        <f t="shared" si="1"/>
        <v>0.08274305555555556</v>
      </c>
      <c r="L34" s="83"/>
    </row>
    <row r="35" spans="1:21" s="15" customFormat="1" ht="15">
      <c r="A35" s="256">
        <v>28</v>
      </c>
      <c r="B35" s="257" t="s">
        <v>468</v>
      </c>
      <c r="C35" s="257" t="s">
        <v>359</v>
      </c>
      <c r="D35" s="256"/>
      <c r="E35" s="256">
        <v>9</v>
      </c>
      <c r="F35" s="398"/>
      <c r="G35" s="398"/>
      <c r="H35" s="398">
        <v>0.08325231481481482</v>
      </c>
      <c r="I35" s="398">
        <f t="shared" si="1"/>
        <v>0.08325231481481482</v>
      </c>
      <c r="J35" s="312">
        <v>2</v>
      </c>
      <c r="K35" s="312">
        <v>29</v>
      </c>
      <c r="L35" s="83">
        <v>0.035694444444444445</v>
      </c>
      <c r="M35" s="352">
        <f>+H35/L35</f>
        <v>2.332360570687419</v>
      </c>
      <c r="N35" s="84">
        <v>97</v>
      </c>
      <c r="O35" s="441">
        <f>+L35-TIME(0,0,45)</f>
        <v>0.035173611111111114</v>
      </c>
      <c r="P35" s="84"/>
      <c r="Q35" s="316"/>
      <c r="R35" s="83"/>
      <c r="S35" s="352"/>
      <c r="U35" s="393"/>
    </row>
    <row r="36" spans="1:21" ht="15">
      <c r="A36" s="256">
        <v>29</v>
      </c>
      <c r="B36" s="257" t="s">
        <v>139</v>
      </c>
      <c r="C36" s="257" t="s">
        <v>140</v>
      </c>
      <c r="D36" s="256">
        <v>24</v>
      </c>
      <c r="E36" s="256"/>
      <c r="F36" s="398">
        <v>0.12002314814814814</v>
      </c>
      <c r="G36" s="398">
        <f>+F36/1.38</f>
        <v>0.08697329575952764</v>
      </c>
      <c r="H36" s="398"/>
      <c r="I36" s="398">
        <f t="shared" si="1"/>
        <v>0.08697329575952764</v>
      </c>
      <c r="J36" s="312">
        <v>3</v>
      </c>
      <c r="K36" s="312">
        <v>28</v>
      </c>
      <c r="L36" s="84"/>
      <c r="M36" s="84"/>
      <c r="N36" s="84"/>
      <c r="O36" s="84"/>
      <c r="P36" s="84"/>
      <c r="Q36" s="316"/>
      <c r="R36" s="83">
        <v>0.0349537037037037</v>
      </c>
      <c r="S36" s="352">
        <f>+F36/R36</f>
        <v>3.433774834437086</v>
      </c>
      <c r="T36" s="15">
        <v>75</v>
      </c>
      <c r="U36" s="393">
        <v>0.03577546296296296</v>
      </c>
    </row>
    <row r="37" spans="1:21" s="15" customFormat="1" ht="15">
      <c r="A37" s="256">
        <v>30</v>
      </c>
      <c r="B37" s="257" t="s">
        <v>321</v>
      </c>
      <c r="C37" s="257" t="s">
        <v>190</v>
      </c>
      <c r="D37" s="256">
        <v>25</v>
      </c>
      <c r="E37" s="256">
        <v>10</v>
      </c>
      <c r="F37" s="398">
        <v>0.1275</v>
      </c>
      <c r="G37" s="398">
        <f>+F37/1.38</f>
        <v>0.0923913043478261</v>
      </c>
      <c r="H37" s="398">
        <v>0.08988425925925926</v>
      </c>
      <c r="I37" s="398">
        <f t="shared" si="1"/>
        <v>0.08988425925925926</v>
      </c>
      <c r="J37" s="312">
        <v>4</v>
      </c>
      <c r="K37" s="312">
        <v>27</v>
      </c>
      <c r="L37" s="83">
        <v>0.03758101851851852</v>
      </c>
      <c r="M37" s="352">
        <f>+H37/L37</f>
        <v>2.3917462272867263</v>
      </c>
      <c r="N37" s="84">
        <v>93</v>
      </c>
      <c r="O37" s="441">
        <f>+L37+TIME(0,0,15)</f>
        <v>0.03775462962962963</v>
      </c>
      <c r="P37" s="84"/>
      <c r="Q37" s="316"/>
      <c r="R37" s="83">
        <v>0.03795138888888889</v>
      </c>
      <c r="S37" s="352">
        <f>+F37/R37</f>
        <v>3.359560841720037</v>
      </c>
      <c r="T37" s="15">
        <v>77</v>
      </c>
      <c r="U37" s="393">
        <v>0.038622685185185184</v>
      </c>
    </row>
    <row r="38" spans="1:21" s="15" customFormat="1" ht="15">
      <c r="A38" s="256">
        <v>31</v>
      </c>
      <c r="B38" s="257" t="s">
        <v>317</v>
      </c>
      <c r="C38" s="257" t="s">
        <v>116</v>
      </c>
      <c r="D38" s="256"/>
      <c r="E38" s="256">
        <v>11</v>
      </c>
      <c r="F38" s="398"/>
      <c r="G38" s="398"/>
      <c r="H38" s="398">
        <v>0.09069444444444445</v>
      </c>
      <c r="I38" s="398">
        <f t="shared" si="1"/>
        <v>0.09069444444444445</v>
      </c>
      <c r="J38" s="312">
        <v>5</v>
      </c>
      <c r="K38" s="312">
        <v>26</v>
      </c>
      <c r="L38" s="83">
        <v>0.03746527777777778</v>
      </c>
      <c r="M38" s="352">
        <f>+H38/L38</f>
        <v>2.420759962928638</v>
      </c>
      <c r="N38" s="84">
        <v>89</v>
      </c>
      <c r="O38" s="441">
        <f>+L38+TIME(0,1,15)</f>
        <v>0.03833333333333333</v>
      </c>
      <c r="P38" s="84"/>
      <c r="Q38" s="316"/>
      <c r="R38" s="83"/>
      <c r="S38" s="352"/>
      <c r="U38" s="393"/>
    </row>
    <row r="39" spans="1:21" s="15" customFormat="1" ht="15">
      <c r="A39" s="256">
        <v>32</v>
      </c>
      <c r="B39" s="257" t="s">
        <v>176</v>
      </c>
      <c r="C39" s="257" t="s">
        <v>177</v>
      </c>
      <c r="D39" s="256">
        <v>26</v>
      </c>
      <c r="E39" s="256"/>
      <c r="F39" s="398">
        <v>0.12756944444444443</v>
      </c>
      <c r="G39" s="398">
        <f>+F39/1.38</f>
        <v>0.09244162640901771</v>
      </c>
      <c r="H39" s="398"/>
      <c r="I39" s="398">
        <f t="shared" si="1"/>
        <v>0.09244162640901771</v>
      </c>
      <c r="J39" s="312">
        <v>6</v>
      </c>
      <c r="K39" s="312">
        <v>25</v>
      </c>
      <c r="L39" s="84"/>
      <c r="M39" s="84"/>
      <c r="N39" s="84"/>
      <c r="O39" s="84"/>
      <c r="P39" s="84"/>
      <c r="Q39" s="316"/>
      <c r="R39" s="83">
        <v>0.03837962962962963</v>
      </c>
      <c r="S39" s="352">
        <f>+F39/R39</f>
        <v>3.3238841978287086</v>
      </c>
      <c r="T39" s="15">
        <v>81</v>
      </c>
      <c r="U39" s="393">
        <v>0.03875</v>
      </c>
    </row>
    <row r="40" spans="1:21" s="15" customFormat="1" ht="15">
      <c r="A40" s="313">
        <v>33</v>
      </c>
      <c r="B40" s="314" t="s">
        <v>237</v>
      </c>
      <c r="C40" s="314" t="s">
        <v>271</v>
      </c>
      <c r="D40" s="313">
        <v>27</v>
      </c>
      <c r="E40" s="313"/>
      <c r="F40" s="399">
        <v>0.12869212962962964</v>
      </c>
      <c r="G40" s="399">
        <f>+F40/1.38</f>
        <v>0.09325516639828235</v>
      </c>
      <c r="H40" s="399"/>
      <c r="I40" s="399">
        <f t="shared" si="1"/>
        <v>0.09325516639828235</v>
      </c>
      <c r="J40" s="316">
        <v>1</v>
      </c>
      <c r="K40" s="316">
        <v>30</v>
      </c>
      <c r="L40" s="84"/>
      <c r="M40" s="84"/>
      <c r="N40" s="84"/>
      <c r="O40" s="84"/>
      <c r="P40" s="84"/>
      <c r="Q40" s="316"/>
      <c r="R40" s="83">
        <v>0.0402662037037037</v>
      </c>
      <c r="S40" s="352">
        <f>+F40/R40</f>
        <v>3.1960333429146313</v>
      </c>
      <c r="T40" s="15">
        <v>91</v>
      </c>
      <c r="U40" s="393">
        <v>0.03989583333333333</v>
      </c>
    </row>
    <row r="41" spans="1:21" s="15" customFormat="1" ht="15">
      <c r="A41" s="256">
        <v>34</v>
      </c>
      <c r="B41" s="257" t="s">
        <v>187</v>
      </c>
      <c r="C41" s="257" t="s">
        <v>374</v>
      </c>
      <c r="D41" s="256">
        <v>28</v>
      </c>
      <c r="E41" s="256"/>
      <c r="F41" s="398">
        <v>0.12935185185185186</v>
      </c>
      <c r="G41" s="398">
        <f>+F41/1.38</f>
        <v>0.0937332259796028</v>
      </c>
      <c r="H41" s="398"/>
      <c r="I41" s="398">
        <f t="shared" si="1"/>
        <v>0.0937332259796028</v>
      </c>
      <c r="J41" s="312">
        <v>7</v>
      </c>
      <c r="K41" s="312">
        <v>24</v>
      </c>
      <c r="L41" s="84"/>
      <c r="M41" s="84"/>
      <c r="N41" s="84"/>
      <c r="O41" s="84"/>
      <c r="P41" s="84"/>
      <c r="Q41" s="316"/>
      <c r="R41" s="83">
        <v>0.036377314814814814</v>
      </c>
      <c r="S41" s="352">
        <f>+F41/R41</f>
        <v>3.555838370983137</v>
      </c>
      <c r="T41" s="15">
        <v>73</v>
      </c>
      <c r="U41" s="393">
        <v>0.037349537037037035</v>
      </c>
    </row>
    <row r="42" spans="1:12" ht="15">
      <c r="A42" s="230">
        <v>35</v>
      </c>
      <c r="B42" s="417" t="s">
        <v>366</v>
      </c>
      <c r="C42" s="417" t="s">
        <v>110</v>
      </c>
      <c r="E42" s="341">
        <v>12</v>
      </c>
      <c r="H42" s="83">
        <v>0.09608796296296296</v>
      </c>
      <c r="I42" s="83">
        <f t="shared" si="1"/>
        <v>0.09608796296296296</v>
      </c>
      <c r="L42" s="83"/>
    </row>
    <row r="43" spans="1:21" s="15" customFormat="1" ht="15">
      <c r="A43" s="317">
        <v>36</v>
      </c>
      <c r="B43" s="318" t="s">
        <v>574</v>
      </c>
      <c r="C43" s="318" t="s">
        <v>240</v>
      </c>
      <c r="D43" s="317">
        <v>29</v>
      </c>
      <c r="E43" s="317"/>
      <c r="F43" s="319">
        <v>0.13434027777777777</v>
      </c>
      <c r="G43" s="319">
        <f>+F43/1.38</f>
        <v>0.09734802737520129</v>
      </c>
      <c r="H43" s="319"/>
      <c r="I43" s="319">
        <f t="shared" si="1"/>
        <v>0.09734802737520129</v>
      </c>
      <c r="J43" s="320">
        <v>1</v>
      </c>
      <c r="K43" s="320">
        <v>30</v>
      </c>
      <c r="L43" s="84"/>
      <c r="M43" s="84"/>
      <c r="N43" s="84"/>
      <c r="O43" s="84"/>
      <c r="P43" s="84"/>
      <c r="Q43" s="316"/>
      <c r="R43" s="83">
        <v>0.04148148148148148</v>
      </c>
      <c r="S43" s="352">
        <f>+F43/R43</f>
        <v>3.238560267857143</v>
      </c>
      <c r="T43" s="15">
        <v>88</v>
      </c>
      <c r="U43" s="393">
        <v>0.04133101851851852</v>
      </c>
    </row>
    <row r="44" spans="1:21" s="15" customFormat="1" ht="15">
      <c r="A44" s="341">
        <v>37</v>
      </c>
      <c r="B44" s="417" t="s">
        <v>356</v>
      </c>
      <c r="C44" s="417" t="s">
        <v>615</v>
      </c>
      <c r="D44" s="341">
        <v>30</v>
      </c>
      <c r="E44" s="341"/>
      <c r="F44" s="83">
        <v>0.13826388888888888</v>
      </c>
      <c r="G44" s="83">
        <f>+F44/1.38</f>
        <v>0.10019122383252818</v>
      </c>
      <c r="H44" s="83"/>
      <c r="I44" s="83">
        <f t="shared" si="1"/>
        <v>0.10019122383252818</v>
      </c>
      <c r="J44" s="84"/>
      <c r="K44" s="84"/>
      <c r="L44" s="84"/>
      <c r="M44" s="84"/>
      <c r="N44" s="84"/>
      <c r="O44" s="84"/>
      <c r="P44" s="84"/>
      <c r="Q44" s="316"/>
      <c r="R44" s="83"/>
      <c r="S44" s="418"/>
      <c r="T44" s="419"/>
      <c r="U44" s="388"/>
    </row>
    <row r="45" spans="1:21" ht="15">
      <c r="A45" s="317">
        <v>38</v>
      </c>
      <c r="B45" s="318" t="s">
        <v>265</v>
      </c>
      <c r="C45" s="318" t="s">
        <v>264</v>
      </c>
      <c r="D45" s="317"/>
      <c r="E45" s="317">
        <v>13</v>
      </c>
      <c r="F45" s="319"/>
      <c r="G45" s="319"/>
      <c r="H45" s="319">
        <v>0.10087962962962964</v>
      </c>
      <c r="I45" s="319">
        <f t="shared" si="1"/>
        <v>0.10087962962962964</v>
      </c>
      <c r="J45" s="320">
        <v>2</v>
      </c>
      <c r="K45" s="320">
        <v>29</v>
      </c>
      <c r="L45" s="83">
        <v>0.04320601851851852</v>
      </c>
      <c r="M45" s="352">
        <f>+H45/L45</f>
        <v>2.3348513260112513</v>
      </c>
      <c r="N45" s="84">
        <v>96</v>
      </c>
      <c r="O45" s="441">
        <f>+L45-TIME(0,0,30)</f>
        <v>0.0428587962962963</v>
      </c>
      <c r="P45" s="84"/>
      <c r="Q45" s="316"/>
      <c r="S45" s="352"/>
      <c r="T45" s="15"/>
      <c r="U45" s="393"/>
    </row>
    <row r="46" spans="1:21" ht="15">
      <c r="A46" s="317">
        <v>39</v>
      </c>
      <c r="B46" s="318" t="s">
        <v>383</v>
      </c>
      <c r="C46" s="318" t="s">
        <v>382</v>
      </c>
      <c r="D46" s="317"/>
      <c r="E46" s="317">
        <v>14</v>
      </c>
      <c r="F46" s="319"/>
      <c r="G46" s="319"/>
      <c r="H46" s="319">
        <v>0.10186342592592594</v>
      </c>
      <c r="I46" s="319">
        <f t="shared" si="1"/>
        <v>0.10186342592592594</v>
      </c>
      <c r="J46" s="320">
        <v>3</v>
      </c>
      <c r="K46" s="320">
        <v>28</v>
      </c>
      <c r="L46" s="83">
        <v>0.041875</v>
      </c>
      <c r="M46" s="352">
        <f>+H46/L46</f>
        <v>2.4325594250967386</v>
      </c>
      <c r="N46" s="84">
        <v>88</v>
      </c>
      <c r="O46" s="441">
        <f>+L46+TIME(0,1,30)</f>
        <v>0.04291666666666667</v>
      </c>
      <c r="P46" s="84"/>
      <c r="Q46" s="316"/>
      <c r="S46" s="352"/>
      <c r="T46" s="15"/>
      <c r="U46" s="393"/>
    </row>
    <row r="47" spans="1:21" ht="15">
      <c r="A47" s="256">
        <v>40</v>
      </c>
      <c r="B47" s="257" t="s">
        <v>63</v>
      </c>
      <c r="C47" s="257" t="s">
        <v>178</v>
      </c>
      <c r="D47" s="256">
        <v>31</v>
      </c>
      <c r="E47" s="256"/>
      <c r="F47" s="398">
        <v>0.14173611111111112</v>
      </c>
      <c r="G47" s="398">
        <f>+F47/1.38</f>
        <v>0.10270732689210951</v>
      </c>
      <c r="H47" s="398"/>
      <c r="I47" s="398">
        <f t="shared" si="1"/>
        <v>0.10270732689210951</v>
      </c>
      <c r="J47" s="312">
        <v>8</v>
      </c>
      <c r="K47" s="312">
        <v>23</v>
      </c>
      <c r="L47" s="84"/>
      <c r="M47" s="84"/>
      <c r="N47" s="84"/>
      <c r="O47" s="84"/>
      <c r="P47" s="84"/>
      <c r="Q47" s="316"/>
      <c r="R47" s="83">
        <v>0.036909722222222226</v>
      </c>
      <c r="S47" s="352">
        <f>+F47/R47</f>
        <v>3.8400752587017872</v>
      </c>
      <c r="T47" s="15">
        <v>72</v>
      </c>
      <c r="U47" s="393">
        <v>0.037951388888888896</v>
      </c>
    </row>
    <row r="48" spans="1:21" ht="15">
      <c r="A48" s="317">
        <v>41</v>
      </c>
      <c r="B48" s="318" t="s">
        <v>245</v>
      </c>
      <c r="C48" s="318" t="s">
        <v>244</v>
      </c>
      <c r="D48" s="317"/>
      <c r="E48" s="317">
        <v>15</v>
      </c>
      <c r="F48" s="319"/>
      <c r="G48" s="319"/>
      <c r="H48" s="319">
        <v>0.11203703703703705</v>
      </c>
      <c r="I48" s="319">
        <f t="shared" si="1"/>
        <v>0.11203703703703705</v>
      </c>
      <c r="J48" s="320">
        <v>4</v>
      </c>
      <c r="K48" s="320">
        <v>27</v>
      </c>
      <c r="L48" s="83">
        <v>0.047974537037037045</v>
      </c>
      <c r="M48" s="352">
        <f>+H48/L48</f>
        <v>2.335343787696019</v>
      </c>
      <c r="N48" s="84">
        <v>95</v>
      </c>
      <c r="O48" s="441">
        <f>+L48-TIME(0,0,15)</f>
        <v>0.047800925925925934</v>
      </c>
      <c r="P48" s="84"/>
      <c r="Q48" s="316"/>
      <c r="S48" s="352"/>
      <c r="T48" s="15"/>
      <c r="U48" s="393"/>
    </row>
    <row r="49" spans="4:5" ht="15">
      <c r="D49"/>
      <c r="E49"/>
    </row>
    <row r="50" spans="4:5" ht="15">
      <c r="D50"/>
      <c r="E50"/>
    </row>
    <row r="51" spans="4:5" ht="15">
      <c r="D51"/>
      <c r="E51"/>
    </row>
    <row r="52" spans="4:5" ht="15">
      <c r="D52"/>
      <c r="E52"/>
    </row>
    <row r="53" spans="4:5" ht="15">
      <c r="D53"/>
      <c r="E53"/>
    </row>
    <row r="54" spans="4:5" ht="15">
      <c r="D54"/>
      <c r="E54"/>
    </row>
    <row r="55" spans="4:5" ht="15">
      <c r="D55"/>
      <c r="E55"/>
    </row>
    <row r="56" spans="4:5" ht="15">
      <c r="D56"/>
      <c r="E56"/>
    </row>
    <row r="57" spans="4:5" ht="15">
      <c r="D57"/>
      <c r="E57"/>
    </row>
    <row r="58" spans="4:5" ht="15">
      <c r="D58"/>
      <c r="E58"/>
    </row>
    <row r="59" spans="4:5" ht="15">
      <c r="D59"/>
      <c r="E59"/>
    </row>
    <row r="60" spans="4:5" ht="15">
      <c r="D60"/>
      <c r="E60"/>
    </row>
    <row r="61" spans="4:5" ht="15">
      <c r="D61"/>
      <c r="E61"/>
    </row>
    <row r="62" spans="4:5" ht="15">
      <c r="D62"/>
      <c r="E62"/>
    </row>
    <row r="63" spans="4:5" ht="15">
      <c r="D63"/>
      <c r="E63"/>
    </row>
    <row r="64" spans="4:5" ht="15">
      <c r="D64"/>
      <c r="E64"/>
    </row>
    <row r="65" spans="4:5" ht="15">
      <c r="D65"/>
      <c r="E65"/>
    </row>
    <row r="66" spans="4:5" ht="15">
      <c r="D66"/>
      <c r="E66"/>
    </row>
    <row r="67" spans="4:5" ht="15">
      <c r="D67"/>
      <c r="E67"/>
    </row>
    <row r="68" spans="4:5" ht="15">
      <c r="D68"/>
      <c r="E68"/>
    </row>
    <row r="69" spans="4:5" ht="15">
      <c r="D69"/>
      <c r="E69"/>
    </row>
    <row r="70" spans="4:5" ht="15">
      <c r="D70"/>
      <c r="E70"/>
    </row>
    <row r="71" spans="4:5" ht="15">
      <c r="D71"/>
      <c r="E71"/>
    </row>
    <row r="72" spans="4:5" ht="15">
      <c r="D72"/>
      <c r="E72"/>
    </row>
    <row r="73" spans="4:5" ht="15">
      <c r="D73"/>
      <c r="E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30" customWidth="1"/>
    <col min="2" max="2" width="10.7109375" style="0" customWidth="1"/>
    <col min="3" max="3" width="19.140625" style="0" customWidth="1"/>
    <col min="4" max="5" width="8.28125" style="230" bestFit="1" customWidth="1"/>
    <col min="6" max="6" width="7.28125" style="232" bestFit="1" customWidth="1"/>
    <col min="7" max="7" width="7.140625" style="232" bestFit="1" customWidth="1"/>
    <col min="8" max="8" width="7.57421875" style="232" bestFit="1" customWidth="1"/>
    <col min="9" max="9" width="8.28125" style="0" bestFit="1" customWidth="1"/>
    <col min="10" max="10" width="6.57421875" style="0" bestFit="1" customWidth="1"/>
    <col min="11" max="11" width="9.57421875" style="0" customWidth="1"/>
    <col min="12" max="12" width="12.7109375" style="0" customWidth="1"/>
    <col min="13" max="13" width="9.57421875" style="0" bestFit="1" customWidth="1"/>
    <col min="14" max="14" width="12.28125" style="0" bestFit="1" customWidth="1"/>
    <col min="15" max="15" width="3.7109375" style="314" customWidth="1"/>
    <col min="16" max="16" width="9.57421875" style="428" hidden="1" customWidth="1"/>
    <col min="17" max="17" width="12.7109375" style="428" hidden="1" customWidth="1"/>
    <col min="18" max="18" width="0" style="428" hidden="1" customWidth="1"/>
    <col min="19" max="19" width="12.140625" style="428" hidden="1" customWidth="1"/>
    <col min="22" max="22" width="12.140625" style="0" bestFit="1" customWidth="1"/>
  </cols>
  <sheetData>
    <row r="1" spans="1:16" ht="18">
      <c r="A1" s="246" t="s">
        <v>623</v>
      </c>
      <c r="F1"/>
      <c r="G1"/>
      <c r="H1"/>
      <c r="K1" s="344"/>
      <c r="P1" s="427"/>
    </row>
    <row r="2" spans="6:19" ht="15">
      <c r="F2"/>
      <c r="G2"/>
      <c r="H2"/>
      <c r="K2" s="347" t="s">
        <v>13</v>
      </c>
      <c r="L2" s="346"/>
      <c r="M2" s="346"/>
      <c r="N2" s="347" t="s">
        <v>612</v>
      </c>
      <c r="P2" s="429" t="s">
        <v>13</v>
      </c>
      <c r="Q2" s="430"/>
      <c r="R2" s="430"/>
      <c r="S2" s="429" t="s">
        <v>530</v>
      </c>
    </row>
    <row r="3" spans="2:19" s="251" customFormat="1" ht="18" customHeight="1">
      <c r="B3" s="248"/>
      <c r="C3" s="247"/>
      <c r="D3" s="247"/>
      <c r="E3" s="247"/>
      <c r="F3" s="348"/>
      <c r="G3" s="348"/>
      <c r="H3" s="348"/>
      <c r="K3" s="347" t="s">
        <v>627</v>
      </c>
      <c r="L3" s="346"/>
      <c r="M3" s="346"/>
      <c r="N3" s="347" t="s">
        <v>284</v>
      </c>
      <c r="O3" s="34"/>
      <c r="P3" s="429" t="s">
        <v>626</v>
      </c>
      <c r="Q3" s="430"/>
      <c r="R3" s="430"/>
      <c r="S3" s="429" t="s">
        <v>531</v>
      </c>
    </row>
    <row r="4" spans="1:19" s="251" customFormat="1" ht="18" customHeight="1">
      <c r="A4" s="246"/>
      <c r="B4" s="248"/>
      <c r="C4" s="247"/>
      <c r="D4" s="247"/>
      <c r="E4" s="247"/>
      <c r="F4" s="348"/>
      <c r="G4" s="348"/>
      <c r="H4" s="421" t="s">
        <v>227</v>
      </c>
      <c r="K4" s="345" t="s">
        <v>454</v>
      </c>
      <c r="L4" s="346"/>
      <c r="M4" s="346"/>
      <c r="N4" s="345" t="s">
        <v>454</v>
      </c>
      <c r="O4" s="34"/>
      <c r="P4" s="431" t="s">
        <v>454</v>
      </c>
      <c r="Q4" s="430"/>
      <c r="R4" s="430"/>
      <c r="S4" s="431" t="s">
        <v>454</v>
      </c>
    </row>
    <row r="5" spans="1:19" s="350" customFormat="1" ht="15">
      <c r="A5" s="82" t="s">
        <v>227</v>
      </c>
      <c r="B5" s="248"/>
      <c r="C5" s="248"/>
      <c r="D5" s="423">
        <v>42144</v>
      </c>
      <c r="E5" s="423">
        <v>42270</v>
      </c>
      <c r="F5" s="421">
        <v>42144</v>
      </c>
      <c r="G5" s="421">
        <v>42270</v>
      </c>
      <c r="H5" s="421" t="s">
        <v>490</v>
      </c>
      <c r="K5" s="345" t="s">
        <v>477</v>
      </c>
      <c r="L5" s="347" t="s">
        <v>477</v>
      </c>
      <c r="M5" s="347" t="s">
        <v>477</v>
      </c>
      <c r="N5" s="345" t="s">
        <v>477</v>
      </c>
      <c r="O5" s="34"/>
      <c r="P5" s="431" t="s">
        <v>477</v>
      </c>
      <c r="Q5" s="429" t="s">
        <v>477</v>
      </c>
      <c r="R5" s="429" t="s">
        <v>477</v>
      </c>
      <c r="S5" s="431" t="s">
        <v>477</v>
      </c>
    </row>
    <row r="6" spans="1:19" s="350" customFormat="1" ht="15">
      <c r="A6" s="254" t="s">
        <v>20</v>
      </c>
      <c r="B6" s="254" t="s">
        <v>17</v>
      </c>
      <c r="C6" s="254" t="s">
        <v>18</v>
      </c>
      <c r="D6" s="254" t="s">
        <v>20</v>
      </c>
      <c r="E6" s="254" t="s">
        <v>20</v>
      </c>
      <c r="F6" s="376" t="s">
        <v>349</v>
      </c>
      <c r="G6" s="376" t="s">
        <v>349</v>
      </c>
      <c r="H6" s="376" t="s">
        <v>349</v>
      </c>
      <c r="I6" s="80" t="s">
        <v>20</v>
      </c>
      <c r="J6" s="80" t="s">
        <v>216</v>
      </c>
      <c r="K6" s="345" t="s">
        <v>349</v>
      </c>
      <c r="L6" s="347" t="s">
        <v>478</v>
      </c>
      <c r="M6" s="351" t="s">
        <v>216</v>
      </c>
      <c r="N6" s="345" t="s">
        <v>349</v>
      </c>
      <c r="O6" s="424"/>
      <c r="P6" s="431" t="s">
        <v>349</v>
      </c>
      <c r="Q6" s="429" t="s">
        <v>478</v>
      </c>
      <c r="R6" s="432" t="s">
        <v>216</v>
      </c>
      <c r="S6" s="431" t="s">
        <v>349</v>
      </c>
    </row>
    <row r="7" spans="1:19" s="15" customFormat="1" ht="15">
      <c r="A7" s="230">
        <v>1</v>
      </c>
      <c r="B7" t="s">
        <v>523</v>
      </c>
      <c r="C7" t="s">
        <v>524</v>
      </c>
      <c r="D7" s="230">
        <v>1</v>
      </c>
      <c r="E7" s="230"/>
      <c r="F7" s="232">
        <f>TIME(0,9,45)</f>
        <v>0.0067708333333333336</v>
      </c>
      <c r="G7" s="232"/>
      <c r="H7" s="232">
        <f aca="true" t="shared" si="0" ref="H7:H38">MIN(G7,F7)</f>
        <v>0.0067708333333333336</v>
      </c>
      <c r="I7"/>
      <c r="J7"/>
      <c r="K7" s="83"/>
      <c r="L7" s="352"/>
      <c r="M7"/>
      <c r="N7"/>
      <c r="O7" s="314"/>
      <c r="P7" s="433"/>
      <c r="Q7" s="434"/>
      <c r="R7" s="428"/>
      <c r="S7" s="428"/>
    </row>
    <row r="8" spans="1:19" s="15" customFormat="1" ht="15">
      <c r="A8" s="295">
        <v>2</v>
      </c>
      <c r="B8" s="296" t="s">
        <v>309</v>
      </c>
      <c r="C8" s="296" t="s">
        <v>308</v>
      </c>
      <c r="D8" s="295">
        <v>2</v>
      </c>
      <c r="E8" s="295">
        <v>1</v>
      </c>
      <c r="F8" s="324">
        <f>TIME(0,10,0)</f>
        <v>0.006944444444444444</v>
      </c>
      <c r="G8" s="324">
        <f>TIME(0,9,54)</f>
        <v>0.006875</v>
      </c>
      <c r="H8" s="324">
        <f t="shared" si="0"/>
        <v>0.006875</v>
      </c>
      <c r="I8" s="298">
        <v>1</v>
      </c>
      <c r="J8" s="298">
        <v>30</v>
      </c>
      <c r="K8" s="83">
        <v>0.022881944444444444</v>
      </c>
      <c r="L8" s="352">
        <f>+G8/K8</f>
        <v>0.30045523520485584</v>
      </c>
      <c r="M8" s="15">
        <v>71</v>
      </c>
      <c r="N8" s="353">
        <f>+K8+TIME(0,1,24)</f>
        <v>0.023854166666666666</v>
      </c>
      <c r="O8" s="425"/>
      <c r="P8" s="433">
        <v>0.024305555555555556</v>
      </c>
      <c r="Q8" s="434">
        <f>+F8/P8</f>
        <v>0.2857142857142857</v>
      </c>
      <c r="R8" s="428">
        <v>76</v>
      </c>
      <c r="S8" s="435">
        <f>+P8+TIME(0,0,30)</f>
        <v>0.024652777777777777</v>
      </c>
    </row>
    <row r="9" spans="1:19" s="15" customFormat="1" ht="15">
      <c r="A9" s="295">
        <v>3</v>
      </c>
      <c r="B9" s="296" t="s">
        <v>31</v>
      </c>
      <c r="C9" s="296" t="s">
        <v>310</v>
      </c>
      <c r="D9" s="295">
        <v>3</v>
      </c>
      <c r="E9" s="295"/>
      <c r="F9" s="324">
        <f>TIME(0,10,17)</f>
        <v>0.007141203703703704</v>
      </c>
      <c r="G9" s="324"/>
      <c r="H9" s="324">
        <f t="shared" si="0"/>
        <v>0.007141203703703704</v>
      </c>
      <c r="I9" s="298">
        <v>2</v>
      </c>
      <c r="J9" s="298">
        <v>29</v>
      </c>
      <c r="K9" s="83"/>
      <c r="L9" s="352"/>
      <c r="N9" s="353"/>
      <c r="O9" s="425"/>
      <c r="P9" s="433">
        <v>0.024918981481481483</v>
      </c>
      <c r="Q9" s="434">
        <f>+F9/P9</f>
        <v>0.28657686948444033</v>
      </c>
      <c r="R9" s="428">
        <v>72</v>
      </c>
      <c r="S9" s="435">
        <f>+P9+TIME(0,0,40)</f>
        <v>0.025381944444444447</v>
      </c>
    </row>
    <row r="10" spans="1:19" s="15" customFormat="1" ht="15">
      <c r="A10" s="295">
        <v>4</v>
      </c>
      <c r="B10" s="296" t="s">
        <v>427</v>
      </c>
      <c r="C10" s="296" t="s">
        <v>426</v>
      </c>
      <c r="D10" s="295">
        <v>4</v>
      </c>
      <c r="E10" s="295"/>
      <c r="F10" s="324">
        <f>TIME(0,10,23)</f>
        <v>0.0072106481481481475</v>
      </c>
      <c r="G10" s="324"/>
      <c r="H10" s="324">
        <f t="shared" si="0"/>
        <v>0.0072106481481481475</v>
      </c>
      <c r="I10" s="298">
        <v>3</v>
      </c>
      <c r="J10" s="298">
        <v>28</v>
      </c>
      <c r="K10" s="83"/>
      <c r="L10" s="352"/>
      <c r="N10" s="353"/>
      <c r="O10" s="425"/>
      <c r="P10" s="433">
        <v>0.025868055555555557</v>
      </c>
      <c r="Q10" s="434">
        <f>+F10/P10</f>
        <v>0.2787472035794183</v>
      </c>
      <c r="R10" s="428">
        <v>90</v>
      </c>
      <c r="S10" s="435">
        <f>+P10-TIME(0,0,40)</f>
        <v>0.025405092592592594</v>
      </c>
    </row>
    <row r="11" spans="1:19" s="15" customFormat="1" ht="15">
      <c r="A11" s="295">
        <v>5</v>
      </c>
      <c r="B11" s="296" t="s">
        <v>347</v>
      </c>
      <c r="C11" s="296" t="s">
        <v>348</v>
      </c>
      <c r="D11" s="295">
        <v>5</v>
      </c>
      <c r="E11" s="295">
        <v>2</v>
      </c>
      <c r="F11" s="324">
        <f>TIME(0,10,54)</f>
        <v>0.007569444444444445</v>
      </c>
      <c r="G11" s="324">
        <f>TIME(0,10,57)</f>
        <v>0.007604166666666666</v>
      </c>
      <c r="H11" s="324">
        <f t="shared" si="0"/>
        <v>0.007569444444444445</v>
      </c>
      <c r="I11" s="298">
        <v>4</v>
      </c>
      <c r="J11" s="298">
        <v>27</v>
      </c>
      <c r="K11" s="83">
        <v>0.025069444444444446</v>
      </c>
      <c r="L11" s="352">
        <f>+G11/K11</f>
        <v>0.3033240997229916</v>
      </c>
      <c r="M11" s="15">
        <v>70</v>
      </c>
      <c r="N11" s="353">
        <f>+K11+TIME(0,1,30)</f>
        <v>0.026111111111111113</v>
      </c>
      <c r="O11" s="425"/>
      <c r="P11" s="433">
        <v>0.026493055555555558</v>
      </c>
      <c r="Q11" s="434">
        <f>+F11/P11</f>
        <v>0.2857142857142857</v>
      </c>
      <c r="R11" s="428">
        <v>74</v>
      </c>
      <c r="S11" s="435">
        <f>+P11+TIME(0,0,25)</f>
        <v>0.02678240740740741</v>
      </c>
    </row>
    <row r="12" spans="1:19" s="15" customFormat="1" ht="15">
      <c r="A12" s="295">
        <v>6</v>
      </c>
      <c r="B12" s="296" t="s">
        <v>525</v>
      </c>
      <c r="C12" s="296" t="s">
        <v>526</v>
      </c>
      <c r="D12" s="295">
        <v>6</v>
      </c>
      <c r="E12" s="295"/>
      <c r="F12" s="324">
        <f>TIME(0,11,1)</f>
        <v>0.007650462962962963</v>
      </c>
      <c r="G12" s="324"/>
      <c r="H12" s="324">
        <f t="shared" si="0"/>
        <v>0.007650462962962963</v>
      </c>
      <c r="I12" s="298">
        <v>5</v>
      </c>
      <c r="J12" s="298">
        <v>26</v>
      </c>
      <c r="K12" s="83"/>
      <c r="L12" s="352"/>
      <c r="N12" s="353"/>
      <c r="O12" s="425"/>
      <c r="P12" s="433">
        <v>0.027256944444444445</v>
      </c>
      <c r="Q12" s="434">
        <f>+F12/P12</f>
        <v>0.28067940552016984</v>
      </c>
      <c r="R12" s="428">
        <v>85</v>
      </c>
      <c r="S12" s="435">
        <f>+P12-TIME(0,0,15)</f>
        <v>0.027083333333333334</v>
      </c>
    </row>
    <row r="13" spans="1:19" s="15" customFormat="1" ht="15">
      <c r="A13" s="295">
        <v>7</v>
      </c>
      <c r="B13" s="296" t="s">
        <v>52</v>
      </c>
      <c r="C13" s="296" t="s">
        <v>274</v>
      </c>
      <c r="D13" s="295"/>
      <c r="E13" s="295">
        <v>3</v>
      </c>
      <c r="F13" s="324"/>
      <c r="G13" s="324">
        <f>TIME(0,11,3)</f>
        <v>0.007673611111111111</v>
      </c>
      <c r="H13" s="324">
        <f t="shared" si="0"/>
        <v>0.007673611111111111</v>
      </c>
      <c r="I13" s="298">
        <v>6</v>
      </c>
      <c r="J13" s="298">
        <v>25</v>
      </c>
      <c r="K13" s="83">
        <v>0.025717592592592594</v>
      </c>
      <c r="L13" s="352">
        <f>+G13/K13</f>
        <v>0.29837983798379836</v>
      </c>
      <c r="M13" s="15">
        <v>73</v>
      </c>
      <c r="N13" s="353">
        <f>+K13+TIME(0,1,12)</f>
        <v>0.026550925925925926</v>
      </c>
      <c r="O13" s="425"/>
      <c r="P13" s="433"/>
      <c r="Q13" s="434"/>
      <c r="R13" s="428"/>
      <c r="S13" s="435"/>
    </row>
    <row r="14" spans="1:19" s="15" customFormat="1" ht="15">
      <c r="A14" s="295">
        <v>8</v>
      </c>
      <c r="B14" s="296" t="s">
        <v>527</v>
      </c>
      <c r="C14" s="296" t="s">
        <v>53</v>
      </c>
      <c r="D14" s="295">
        <v>7</v>
      </c>
      <c r="E14" s="295">
        <v>4</v>
      </c>
      <c r="F14" s="324">
        <f>TIME(0,11,27)</f>
        <v>0.007951388888888888</v>
      </c>
      <c r="G14" s="324">
        <f>TIME(0,11,14)</f>
        <v>0.0078009259259259256</v>
      </c>
      <c r="H14" s="324">
        <f t="shared" si="0"/>
        <v>0.0078009259259259256</v>
      </c>
      <c r="I14" s="298">
        <v>7</v>
      </c>
      <c r="J14" s="298">
        <v>24</v>
      </c>
      <c r="K14" s="83">
        <v>0.027175925925925926</v>
      </c>
      <c r="L14" s="352">
        <f>+G14/K14</f>
        <v>0.2870528109028961</v>
      </c>
      <c r="M14" s="15">
        <v>79</v>
      </c>
      <c r="N14" s="353">
        <f>+K14+TIME(0,0,36)</f>
        <v>0.027592592592592592</v>
      </c>
      <c r="O14" s="425"/>
      <c r="P14" s="433">
        <v>0.02621527777777778</v>
      </c>
      <c r="Q14" s="434">
        <f>+F14/P14</f>
        <v>0.30331125827814565</v>
      </c>
      <c r="R14" s="428">
        <v>63</v>
      </c>
      <c r="S14" s="435">
        <f>+P14+TIME(0,1,25)</f>
        <v>0.027199074074074073</v>
      </c>
    </row>
    <row r="15" spans="1:19" s="15" customFormat="1" ht="15">
      <c r="A15" s="230">
        <v>9</v>
      </c>
      <c r="B15" t="s">
        <v>518</v>
      </c>
      <c r="C15" t="s">
        <v>535</v>
      </c>
      <c r="D15" s="230"/>
      <c r="E15" s="230">
        <v>5</v>
      </c>
      <c r="F15" s="232"/>
      <c r="G15" s="232">
        <f>TIME(0,11,24)</f>
        <v>0.007916666666666667</v>
      </c>
      <c r="H15" s="232">
        <f t="shared" si="0"/>
        <v>0.007916666666666667</v>
      </c>
      <c r="I15"/>
      <c r="J15"/>
      <c r="K15" s="83"/>
      <c r="L15" s="352"/>
      <c r="M15"/>
      <c r="N15"/>
      <c r="O15" s="314"/>
      <c r="P15" s="433"/>
      <c r="Q15" s="434"/>
      <c r="R15" s="428"/>
      <c r="S15" s="428"/>
    </row>
    <row r="16" spans="1:19" s="15" customFormat="1" ht="15">
      <c r="A16" s="303">
        <v>10</v>
      </c>
      <c r="B16" s="304" t="s">
        <v>258</v>
      </c>
      <c r="C16" s="304" t="s">
        <v>257</v>
      </c>
      <c r="D16" s="303"/>
      <c r="E16" s="303">
        <v>6</v>
      </c>
      <c r="F16" s="325"/>
      <c r="G16" s="325">
        <f>TIME(0,11,26)</f>
        <v>0.007939814814814814</v>
      </c>
      <c r="H16" s="325">
        <f t="shared" si="0"/>
        <v>0.007939814814814814</v>
      </c>
      <c r="I16" s="306">
        <v>1</v>
      </c>
      <c r="J16" s="306">
        <v>30</v>
      </c>
      <c r="K16" s="83">
        <v>0.029108796296296296</v>
      </c>
      <c r="L16" s="352">
        <f>+G16/K16</f>
        <v>0.2727634194831014</v>
      </c>
      <c r="M16" s="15">
        <v>96</v>
      </c>
      <c r="N16" s="353">
        <f>+K16-TIME(0,1,6)</f>
        <v>0.028344907407407405</v>
      </c>
      <c r="O16" s="426"/>
      <c r="P16" s="433"/>
      <c r="Q16" s="434"/>
      <c r="R16" s="428"/>
      <c r="S16" s="435"/>
    </row>
    <row r="17" spans="1:19" s="15" customFormat="1" ht="15">
      <c r="A17" s="303">
        <v>11</v>
      </c>
      <c r="B17" s="304" t="s">
        <v>219</v>
      </c>
      <c r="C17" s="304" t="s">
        <v>388</v>
      </c>
      <c r="D17" s="303"/>
      <c r="E17" s="303">
        <v>7</v>
      </c>
      <c r="F17" s="325"/>
      <c r="G17" s="325">
        <f>TIME(0,11,31)</f>
        <v>0.007997685185185186</v>
      </c>
      <c r="H17" s="325">
        <f t="shared" si="0"/>
        <v>0.007997685185185186</v>
      </c>
      <c r="I17" s="306">
        <v>2</v>
      </c>
      <c r="J17" s="306">
        <v>29</v>
      </c>
      <c r="K17" s="83">
        <v>0.029629629629629627</v>
      </c>
      <c r="L17" s="352">
        <f>+G17/K17</f>
        <v>0.26992187500000003</v>
      </c>
      <c r="M17" s="15">
        <v>97</v>
      </c>
      <c r="N17" s="353">
        <f>+K17-TIME(0,1,12)</f>
        <v>0.028796296296296296</v>
      </c>
      <c r="O17" s="426"/>
      <c r="P17" s="433"/>
      <c r="Q17" s="434"/>
      <c r="R17" s="428"/>
      <c r="S17" s="435"/>
    </row>
    <row r="18" spans="1:19" s="15" customFormat="1" ht="15">
      <c r="A18" s="303">
        <v>12</v>
      </c>
      <c r="B18" s="304" t="s">
        <v>187</v>
      </c>
      <c r="C18" s="304" t="s">
        <v>77</v>
      </c>
      <c r="D18" s="303">
        <v>8</v>
      </c>
      <c r="E18" s="303"/>
      <c r="F18" s="325">
        <f>TIME(0,11,37)</f>
        <v>0.00806712962962963</v>
      </c>
      <c r="G18" s="325"/>
      <c r="H18" s="325">
        <f t="shared" si="0"/>
        <v>0.00806712962962963</v>
      </c>
      <c r="I18" s="306">
        <v>3</v>
      </c>
      <c r="J18" s="306">
        <v>28</v>
      </c>
      <c r="K18" s="83"/>
      <c r="L18" s="352"/>
      <c r="N18" s="353"/>
      <c r="O18" s="426"/>
      <c r="P18" s="433">
        <v>0.0284375</v>
      </c>
      <c r="Q18" s="434">
        <f>+F18/P18</f>
        <v>0.2836792836792837</v>
      </c>
      <c r="R18" s="428">
        <v>79</v>
      </c>
      <c r="S18" s="435">
        <f>+P18+TIME(0,0,5)</f>
        <v>0.028495370370370372</v>
      </c>
    </row>
    <row r="19" spans="1:19" s="15" customFormat="1" ht="15">
      <c r="A19" s="230">
        <v>13</v>
      </c>
      <c r="B19" t="s">
        <v>228</v>
      </c>
      <c r="C19" t="s">
        <v>528</v>
      </c>
      <c r="D19" s="230">
        <v>9</v>
      </c>
      <c r="E19" s="230"/>
      <c r="F19" s="232">
        <f>TIME(0,11,52)</f>
        <v>0.008240740740740741</v>
      </c>
      <c r="G19" s="232"/>
      <c r="H19" s="232">
        <f t="shared" si="0"/>
        <v>0.008240740740740741</v>
      </c>
      <c r="I19"/>
      <c r="J19"/>
      <c r="K19" s="83"/>
      <c r="L19" s="352"/>
      <c r="M19"/>
      <c r="N19"/>
      <c r="O19" s="314"/>
      <c r="P19" s="433"/>
      <c r="Q19" s="434"/>
      <c r="R19" s="428"/>
      <c r="S19" s="428"/>
    </row>
    <row r="20" spans="1:19" s="15" customFormat="1" ht="15">
      <c r="A20" s="303">
        <v>14</v>
      </c>
      <c r="B20" s="304" t="s">
        <v>113</v>
      </c>
      <c r="C20" s="304" t="s">
        <v>114</v>
      </c>
      <c r="D20" s="303"/>
      <c r="E20" s="303">
        <v>8</v>
      </c>
      <c r="F20" s="325"/>
      <c r="G20" s="325">
        <f>TIME(0,11,54)</f>
        <v>0.008263888888888888</v>
      </c>
      <c r="H20" s="325">
        <f t="shared" si="0"/>
        <v>0.008263888888888888</v>
      </c>
      <c r="I20" s="306">
        <v>4</v>
      </c>
      <c r="J20" s="306">
        <v>27</v>
      </c>
      <c r="K20" s="83">
        <v>0.03008101851851852</v>
      </c>
      <c r="L20" s="352">
        <f>+G20/K20</f>
        <v>0.2747210465563678</v>
      </c>
      <c r="M20" s="15">
        <v>93</v>
      </c>
      <c r="N20" s="353">
        <f>+K20-TIME(0,0,48)</f>
        <v>0.029525462962962965</v>
      </c>
      <c r="O20" s="426"/>
      <c r="P20" s="433"/>
      <c r="Q20" s="434"/>
      <c r="R20" s="428"/>
      <c r="S20" s="435"/>
    </row>
    <row r="21" spans="1:19" s="15" customFormat="1" ht="15">
      <c r="A21" s="299">
        <v>15</v>
      </c>
      <c r="B21" s="300" t="s">
        <v>63</v>
      </c>
      <c r="C21" s="300" t="s">
        <v>110</v>
      </c>
      <c r="D21" s="299"/>
      <c r="E21" s="299">
        <v>9</v>
      </c>
      <c r="F21" s="326"/>
      <c r="G21" s="326">
        <f>TIME(0,11,55)</f>
        <v>0.008275462962962962</v>
      </c>
      <c r="H21" s="326">
        <f t="shared" si="0"/>
        <v>0.008275462962962962</v>
      </c>
      <c r="I21" s="302">
        <v>1</v>
      </c>
      <c r="J21" s="302">
        <v>30</v>
      </c>
      <c r="K21" s="83">
        <v>0.029050925925925928</v>
      </c>
      <c r="L21" s="352">
        <f>+G21/K21</f>
        <v>0.28486055776892427</v>
      </c>
      <c r="M21" s="15">
        <v>81</v>
      </c>
      <c r="N21" s="353">
        <f>+K21+TIME(0,0,24)</f>
        <v>0.029328703703703704</v>
      </c>
      <c r="O21" s="316"/>
      <c r="P21" s="433"/>
      <c r="Q21" s="434"/>
      <c r="R21" s="428"/>
      <c r="S21" s="435"/>
    </row>
    <row r="22" spans="1:19" s="15" customFormat="1" ht="15">
      <c r="A22" s="303">
        <v>16</v>
      </c>
      <c r="B22" s="304" t="s">
        <v>63</v>
      </c>
      <c r="C22" s="304" t="s">
        <v>64</v>
      </c>
      <c r="D22" s="303"/>
      <c r="E22" s="303">
        <v>10</v>
      </c>
      <c r="F22" s="325"/>
      <c r="G22" s="325">
        <f>TIME(0,12,5)</f>
        <v>0.008391203703703705</v>
      </c>
      <c r="H22" s="325">
        <f t="shared" si="0"/>
        <v>0.008391203703703705</v>
      </c>
      <c r="I22" s="306">
        <v>5</v>
      </c>
      <c r="J22" s="306">
        <v>26</v>
      </c>
      <c r="K22" s="83">
        <v>0.02800925925925926</v>
      </c>
      <c r="L22" s="352">
        <f>+G22/K22</f>
        <v>0.29958677685950413</v>
      </c>
      <c r="M22" s="15">
        <v>72</v>
      </c>
      <c r="N22" s="353">
        <f>+K22+TIME(0,1,18)</f>
        <v>0.028912037037037038</v>
      </c>
      <c r="O22" s="426"/>
      <c r="P22" s="433"/>
      <c r="Q22" s="434"/>
      <c r="R22" s="428"/>
      <c r="S22" s="435"/>
    </row>
    <row r="23" spans="1:20" ht="15">
      <c r="A23" s="299">
        <v>17</v>
      </c>
      <c r="B23" s="300" t="s">
        <v>243</v>
      </c>
      <c r="C23" s="300" t="s">
        <v>275</v>
      </c>
      <c r="D23" s="299">
        <v>10</v>
      </c>
      <c r="E23" s="299"/>
      <c r="F23" s="326">
        <f>TIME(0,12,6)</f>
        <v>0.008402777777777778</v>
      </c>
      <c r="G23" s="326"/>
      <c r="H23" s="326">
        <f t="shared" si="0"/>
        <v>0.008402777777777778</v>
      </c>
      <c r="I23" s="302">
        <v>2</v>
      </c>
      <c r="J23" s="302">
        <v>29</v>
      </c>
      <c r="K23" s="83"/>
      <c r="L23" s="352"/>
      <c r="M23" s="15"/>
      <c r="N23" s="353"/>
      <c r="O23" s="316"/>
      <c r="P23" s="433">
        <v>0.029687500000000002</v>
      </c>
      <c r="Q23" s="434">
        <f aca="true" t="shared" si="1" ref="Q23:Q32">+F23/P23</f>
        <v>0.2830409356725146</v>
      </c>
      <c r="R23" s="428">
        <v>81</v>
      </c>
      <c r="S23" s="435">
        <f>+P23</f>
        <v>0.029687500000000002</v>
      </c>
      <c r="T23" s="15"/>
    </row>
    <row r="24" spans="1:19" s="15" customFormat="1" ht="15">
      <c r="A24" s="299">
        <v>18</v>
      </c>
      <c r="B24" s="300" t="s">
        <v>187</v>
      </c>
      <c r="C24" s="300" t="s">
        <v>88</v>
      </c>
      <c r="D24" s="299">
        <v>11</v>
      </c>
      <c r="E24" s="299"/>
      <c r="F24" s="326">
        <f>TIME(0,12,13)</f>
        <v>0.008483796296296297</v>
      </c>
      <c r="G24" s="326"/>
      <c r="H24" s="326">
        <f t="shared" si="0"/>
        <v>0.008483796296296297</v>
      </c>
      <c r="I24" s="302">
        <v>3</v>
      </c>
      <c r="J24" s="302">
        <v>28</v>
      </c>
      <c r="K24" s="83"/>
      <c r="L24" s="352"/>
      <c r="N24" s="353"/>
      <c r="O24" s="316"/>
      <c r="P24" s="433">
        <v>0.030555555555555555</v>
      </c>
      <c r="Q24" s="434">
        <f t="shared" si="1"/>
        <v>0.27765151515151515</v>
      </c>
      <c r="R24" s="428">
        <v>93</v>
      </c>
      <c r="S24" s="435">
        <f>+P24-TIME(0,0,55)</f>
        <v>0.02991898148148148</v>
      </c>
    </row>
    <row r="25" spans="1:19" s="15" customFormat="1" ht="15">
      <c r="A25" s="303">
        <v>19</v>
      </c>
      <c r="B25" s="304" t="s">
        <v>342</v>
      </c>
      <c r="C25" s="304" t="s">
        <v>106</v>
      </c>
      <c r="D25" s="303">
        <v>12</v>
      </c>
      <c r="E25" s="303"/>
      <c r="F25" s="325">
        <f>TIME(0,12,16)</f>
        <v>0.008518518518518519</v>
      </c>
      <c r="G25" s="325"/>
      <c r="H25" s="325">
        <f t="shared" si="0"/>
        <v>0.008518518518518519</v>
      </c>
      <c r="I25" s="306">
        <v>6</v>
      </c>
      <c r="J25" s="306">
        <v>25</v>
      </c>
      <c r="K25" s="83"/>
      <c r="L25" s="352"/>
      <c r="N25" s="353"/>
      <c r="O25" s="426"/>
      <c r="P25" s="433">
        <v>0.029166666666666664</v>
      </c>
      <c r="Q25" s="434">
        <f t="shared" si="1"/>
        <v>0.29206349206349214</v>
      </c>
      <c r="R25" s="428">
        <v>67</v>
      </c>
      <c r="S25" s="435">
        <f>+P25+TIME(0,1,5)</f>
        <v>0.029918981481481477</v>
      </c>
    </row>
    <row r="26" spans="1:19" s="15" customFormat="1" ht="15">
      <c r="A26" s="303">
        <v>20</v>
      </c>
      <c r="B26" s="304" t="s">
        <v>73</v>
      </c>
      <c r="C26" s="304" t="s">
        <v>74</v>
      </c>
      <c r="D26" s="303">
        <v>13</v>
      </c>
      <c r="E26" s="303"/>
      <c r="F26" s="325">
        <f>TIME(0,12,21)</f>
        <v>0.008576388888888889</v>
      </c>
      <c r="G26" s="325"/>
      <c r="H26" s="325">
        <f t="shared" si="0"/>
        <v>0.008576388888888889</v>
      </c>
      <c r="I26" s="306">
        <v>7</v>
      </c>
      <c r="J26" s="306">
        <v>24</v>
      </c>
      <c r="K26" s="83"/>
      <c r="L26" s="352"/>
      <c r="N26" s="353"/>
      <c r="O26" s="426"/>
      <c r="P26" s="433">
        <v>0.029861111111111113</v>
      </c>
      <c r="Q26" s="434">
        <f t="shared" si="1"/>
        <v>0.2872093023255814</v>
      </c>
      <c r="R26" s="428">
        <v>71</v>
      </c>
      <c r="S26" s="435">
        <f>+P26+TIME(0,0,45)</f>
        <v>0.030381944444444448</v>
      </c>
    </row>
    <row r="27" spans="1:19" s="15" customFormat="1" ht="15">
      <c r="A27" s="299">
        <v>21</v>
      </c>
      <c r="B27" s="300" t="s">
        <v>115</v>
      </c>
      <c r="C27" s="300" t="s">
        <v>116</v>
      </c>
      <c r="D27" s="299">
        <v>14</v>
      </c>
      <c r="E27" s="299">
        <v>15</v>
      </c>
      <c r="F27" s="326">
        <f>TIME(0,12,30)</f>
        <v>0.008680555555555556</v>
      </c>
      <c r="G27" s="326">
        <f>TIME(0,13,16)</f>
        <v>0.009212962962962963</v>
      </c>
      <c r="H27" s="326">
        <f t="shared" si="0"/>
        <v>0.008680555555555556</v>
      </c>
      <c r="I27" s="302">
        <v>4</v>
      </c>
      <c r="J27" s="302">
        <v>27</v>
      </c>
      <c r="K27" s="83">
        <v>0.03310185185185185</v>
      </c>
      <c r="L27" s="352">
        <f>+G27/K27</f>
        <v>0.27832167832167837</v>
      </c>
      <c r="M27" s="15">
        <v>87</v>
      </c>
      <c r="N27" s="353">
        <f>+K27-TIME(0,0,12)</f>
        <v>0.03296296296296296</v>
      </c>
      <c r="O27" s="316"/>
      <c r="P27" s="433">
        <v>0.02981481481481481</v>
      </c>
      <c r="Q27" s="434">
        <f t="shared" si="1"/>
        <v>0.29114906832298143</v>
      </c>
      <c r="R27" s="428">
        <v>69</v>
      </c>
      <c r="S27" s="435">
        <f>+P27+TIME(0,0,55)</f>
        <v>0.030451388888888885</v>
      </c>
    </row>
    <row r="28" spans="1:19" s="15" customFormat="1" ht="15">
      <c r="A28" s="299">
        <v>22</v>
      </c>
      <c r="B28" s="300" t="s">
        <v>63</v>
      </c>
      <c r="C28" s="300" t="s">
        <v>91</v>
      </c>
      <c r="D28" s="299">
        <v>15</v>
      </c>
      <c r="E28" s="299"/>
      <c r="F28" s="326">
        <f>TIME(0,12,34)</f>
        <v>0.008726851851851852</v>
      </c>
      <c r="G28" s="326"/>
      <c r="H28" s="326">
        <f t="shared" si="0"/>
        <v>0.008726851851851852</v>
      </c>
      <c r="I28" s="302">
        <v>5</v>
      </c>
      <c r="J28" s="302">
        <v>26</v>
      </c>
      <c r="K28" s="83"/>
      <c r="L28" s="352"/>
      <c r="N28" s="353"/>
      <c r="O28" s="316"/>
      <c r="P28" s="433">
        <v>0.030555555555555555</v>
      </c>
      <c r="Q28" s="434">
        <f t="shared" si="1"/>
        <v>0.28560606060606064</v>
      </c>
      <c r="R28" s="428">
        <v>77</v>
      </c>
      <c r="S28" s="435">
        <f>+P28+TIME(0,0,15)</f>
        <v>0.030729166666666665</v>
      </c>
    </row>
    <row r="29" spans="1:19" s="15" customFormat="1" ht="15">
      <c r="A29" s="299">
        <v>23</v>
      </c>
      <c r="B29" s="300" t="s">
        <v>219</v>
      </c>
      <c r="C29" s="300" t="s">
        <v>241</v>
      </c>
      <c r="D29" s="299">
        <v>16</v>
      </c>
      <c r="E29" s="299"/>
      <c r="F29" s="326">
        <f>TIME(0,12,40)</f>
        <v>0.008796296296296297</v>
      </c>
      <c r="G29" s="326"/>
      <c r="H29" s="326">
        <f t="shared" si="0"/>
        <v>0.008796296296296297</v>
      </c>
      <c r="I29" s="302">
        <v>6</v>
      </c>
      <c r="J29" s="302">
        <v>25</v>
      </c>
      <c r="K29" s="83"/>
      <c r="L29" s="352"/>
      <c r="N29" s="353"/>
      <c r="O29" s="316"/>
      <c r="P29" s="433">
        <v>0.03107638888888889</v>
      </c>
      <c r="Q29" s="434">
        <f t="shared" si="1"/>
        <v>0.2830540037243948</v>
      </c>
      <c r="R29" s="428">
        <v>80</v>
      </c>
      <c r="S29" s="435">
        <f>+P29</f>
        <v>0.03107638888888889</v>
      </c>
    </row>
    <row r="30" spans="1:19" s="15" customFormat="1" ht="15">
      <c r="A30" s="307">
        <v>24</v>
      </c>
      <c r="B30" s="308" t="s">
        <v>189</v>
      </c>
      <c r="C30" s="308" t="s">
        <v>162</v>
      </c>
      <c r="D30" s="307">
        <v>17</v>
      </c>
      <c r="E30" s="307"/>
      <c r="F30" s="327">
        <f>TIME(0,12,42)</f>
        <v>0.008819444444444444</v>
      </c>
      <c r="G30" s="327"/>
      <c r="H30" s="327">
        <f t="shared" si="0"/>
        <v>0.008819444444444444</v>
      </c>
      <c r="I30" s="310">
        <v>1</v>
      </c>
      <c r="J30" s="310">
        <v>30</v>
      </c>
      <c r="K30" s="83"/>
      <c r="L30" s="352"/>
      <c r="N30" s="353"/>
      <c r="O30" s="316"/>
      <c r="P30" s="433">
        <v>0.03246527777777778</v>
      </c>
      <c r="Q30" s="434">
        <f t="shared" si="1"/>
        <v>0.27165775401069514</v>
      </c>
      <c r="R30" s="428">
        <v>96</v>
      </c>
      <c r="S30" s="435">
        <f>+P30-TIME(0,1,10)</f>
        <v>0.031655092592592596</v>
      </c>
    </row>
    <row r="31" spans="1:19" s="15" customFormat="1" ht="15">
      <c r="A31" s="299">
        <v>25</v>
      </c>
      <c r="B31" s="300" t="s">
        <v>220</v>
      </c>
      <c r="C31" s="300" t="s">
        <v>354</v>
      </c>
      <c r="D31" s="299">
        <v>18</v>
      </c>
      <c r="E31" s="299">
        <v>11</v>
      </c>
      <c r="F31" s="326">
        <f>TIME(0,12,43)</f>
        <v>0.008831018518518518</v>
      </c>
      <c r="G31" s="326">
        <f>TIME(0,12,45)</f>
        <v>0.008854166666666666</v>
      </c>
      <c r="H31" s="326">
        <f t="shared" si="0"/>
        <v>0.008831018518518518</v>
      </c>
      <c r="I31" s="302">
        <v>7</v>
      </c>
      <c r="J31" s="302">
        <v>24</v>
      </c>
      <c r="K31" s="83">
        <v>0.032164351851851854</v>
      </c>
      <c r="L31" s="352">
        <f>+G31/K31</f>
        <v>0.27527887729399064</v>
      </c>
      <c r="M31" s="15">
        <v>92</v>
      </c>
      <c r="N31" s="353">
        <f>+K31-TIME(0,0,42)</f>
        <v>0.03167824074074074</v>
      </c>
      <c r="O31" s="316"/>
      <c r="P31" s="433">
        <v>0.03071759259259259</v>
      </c>
      <c r="Q31" s="434">
        <f t="shared" si="1"/>
        <v>0.287490580256217</v>
      </c>
      <c r="R31" s="428">
        <v>70</v>
      </c>
      <c r="S31" s="435">
        <f>+P31+TIME(0,0,50)</f>
        <v>0.031296296296296294</v>
      </c>
    </row>
    <row r="32" spans="1:19" s="15" customFormat="1" ht="15">
      <c r="A32" s="307">
        <v>26</v>
      </c>
      <c r="B32" s="308" t="s">
        <v>276</v>
      </c>
      <c r="C32" s="308" t="s">
        <v>38</v>
      </c>
      <c r="D32" s="307">
        <v>27</v>
      </c>
      <c r="E32" s="307">
        <v>12</v>
      </c>
      <c r="F32" s="327">
        <f>TIME(0,13,53)</f>
        <v>0.009641203703703704</v>
      </c>
      <c r="G32" s="327">
        <f>TIME(0,12,48)</f>
        <v>0.008888888888888889</v>
      </c>
      <c r="H32" s="327">
        <f t="shared" si="0"/>
        <v>0.008888888888888889</v>
      </c>
      <c r="I32" s="310">
        <v>2</v>
      </c>
      <c r="J32" s="310">
        <v>29</v>
      </c>
      <c r="K32" s="83">
        <v>0.032511574074074075</v>
      </c>
      <c r="L32" s="352">
        <f>+G32/K32</f>
        <v>0.2734069063723745</v>
      </c>
      <c r="M32" s="15">
        <v>94</v>
      </c>
      <c r="N32" s="353">
        <f>+K32-TIME(0,0,54)</f>
        <v>0.031886574074074074</v>
      </c>
      <c r="O32" s="316"/>
      <c r="P32" s="433">
        <v>0.032673611111111105</v>
      </c>
      <c r="Q32" s="434">
        <f t="shared" si="1"/>
        <v>0.29507616011335464</v>
      </c>
      <c r="R32" s="428">
        <v>66</v>
      </c>
      <c r="S32" s="435">
        <f>+P32+TIME(0,1,10)</f>
        <v>0.03348379629629629</v>
      </c>
    </row>
    <row r="33" spans="1:19" s="15" customFormat="1" ht="15">
      <c r="A33" s="230">
        <v>27</v>
      </c>
      <c r="B33" t="s">
        <v>529</v>
      </c>
      <c r="C33" t="s">
        <v>516</v>
      </c>
      <c r="D33" s="230">
        <v>19</v>
      </c>
      <c r="E33" s="230"/>
      <c r="F33" s="232">
        <f>TIME(0,12,49)</f>
        <v>0.008900462962962962</v>
      </c>
      <c r="G33" s="232"/>
      <c r="H33" s="232">
        <f t="shared" si="0"/>
        <v>0.008900462962962962</v>
      </c>
      <c r="I33"/>
      <c r="J33"/>
      <c r="K33" s="83"/>
      <c r="L33" s="352"/>
      <c r="M33"/>
      <c r="N33"/>
      <c r="O33" s="314"/>
      <c r="P33" s="433"/>
      <c r="Q33" s="434"/>
      <c r="R33" s="428"/>
      <c r="S33" s="428"/>
    </row>
    <row r="34" spans="1:19" s="15" customFormat="1" ht="15">
      <c r="A34" s="299">
        <v>28</v>
      </c>
      <c r="B34" s="300" t="s">
        <v>235</v>
      </c>
      <c r="C34" s="300" t="s">
        <v>236</v>
      </c>
      <c r="D34" s="299">
        <v>20</v>
      </c>
      <c r="E34" s="299">
        <v>13</v>
      </c>
      <c r="F34" s="326">
        <f>TIME(0,12,55)</f>
        <v>0.008969907407407407</v>
      </c>
      <c r="G34" s="326">
        <f>TIME(0,12,50)</f>
        <v>0.008912037037037038</v>
      </c>
      <c r="H34" s="326">
        <f t="shared" si="0"/>
        <v>0.008912037037037038</v>
      </c>
      <c r="I34" s="302">
        <v>8</v>
      </c>
      <c r="J34" s="302">
        <v>23</v>
      </c>
      <c r="K34" s="83">
        <v>0.0312962962962963</v>
      </c>
      <c r="L34" s="352">
        <f>+G34/K34</f>
        <v>0.28476331360946744</v>
      </c>
      <c r="M34" s="15">
        <v>82</v>
      </c>
      <c r="N34" s="353">
        <f>+K34+TIME(0,0,18)</f>
        <v>0.03150462962962963</v>
      </c>
      <c r="O34" s="316"/>
      <c r="P34" s="433">
        <v>0.03072916666666667</v>
      </c>
      <c r="Q34" s="434">
        <f>+F34/P34</f>
        <v>0.2919020715630885</v>
      </c>
      <c r="R34" s="428">
        <v>68</v>
      </c>
      <c r="S34" s="435">
        <f>+P34+TIME(0,1,0)</f>
        <v>0.03142361111111111</v>
      </c>
    </row>
    <row r="35" spans="1:19" s="15" customFormat="1" ht="15">
      <c r="A35" s="307">
        <v>29</v>
      </c>
      <c r="B35" s="308" t="s">
        <v>103</v>
      </c>
      <c r="C35" s="308" t="s">
        <v>104</v>
      </c>
      <c r="D35" s="307"/>
      <c r="E35" s="307">
        <v>14</v>
      </c>
      <c r="F35" s="327"/>
      <c r="G35" s="327">
        <f>TIME(0,12,53)</f>
        <v>0.008946759259259258</v>
      </c>
      <c r="H35" s="327">
        <f t="shared" si="0"/>
        <v>0.008946759259259258</v>
      </c>
      <c r="I35" s="310">
        <v>3</v>
      </c>
      <c r="J35" s="310">
        <v>28</v>
      </c>
      <c r="K35" s="83">
        <v>0.03193287037037037</v>
      </c>
      <c r="L35" s="352">
        <f>+G35/K35</f>
        <v>0.28017397607828926</v>
      </c>
      <c r="M35" s="15">
        <v>85</v>
      </c>
      <c r="N35" s="353">
        <f>+K35</f>
        <v>0.03193287037037037</v>
      </c>
      <c r="O35" s="316"/>
      <c r="P35" s="433"/>
      <c r="Q35" s="434"/>
      <c r="R35" s="428"/>
      <c r="S35" s="435"/>
    </row>
    <row r="36" spans="1:20" ht="15">
      <c r="A36" s="299">
        <v>30</v>
      </c>
      <c r="B36" s="300" t="s">
        <v>320</v>
      </c>
      <c r="C36" s="300" t="s">
        <v>310</v>
      </c>
      <c r="D36" s="299">
        <v>21</v>
      </c>
      <c r="E36" s="299"/>
      <c r="F36" s="326">
        <f>TIME(0,13,9)</f>
        <v>0.009131944444444444</v>
      </c>
      <c r="G36" s="326"/>
      <c r="H36" s="326">
        <f t="shared" si="0"/>
        <v>0.009131944444444444</v>
      </c>
      <c r="I36" s="302">
        <v>9</v>
      </c>
      <c r="J36" s="302">
        <v>22</v>
      </c>
      <c r="K36" s="83"/>
      <c r="L36" s="352"/>
      <c r="M36" s="15"/>
      <c r="N36" s="353"/>
      <c r="O36" s="316"/>
      <c r="P36" s="433">
        <v>0.030775462962962966</v>
      </c>
      <c r="Q36" s="434">
        <f>+F36/P36</f>
        <v>0.29672809326814586</v>
      </c>
      <c r="R36" s="428">
        <v>64</v>
      </c>
      <c r="S36" s="435">
        <f>+P36+TIME(0,1,20)</f>
        <v>0.03170138888888889</v>
      </c>
      <c r="T36" s="15"/>
    </row>
    <row r="37" spans="1:19" s="15" customFormat="1" ht="15">
      <c r="A37" s="307">
        <v>31</v>
      </c>
      <c r="B37" s="308" t="s">
        <v>527</v>
      </c>
      <c r="C37" s="308" t="s">
        <v>122</v>
      </c>
      <c r="D37" s="307">
        <v>22</v>
      </c>
      <c r="E37" s="307"/>
      <c r="F37" s="327">
        <f>TIME(0,13,15)</f>
        <v>0.00920138888888889</v>
      </c>
      <c r="G37" s="327"/>
      <c r="H37" s="327">
        <f t="shared" si="0"/>
        <v>0.00920138888888889</v>
      </c>
      <c r="I37" s="310">
        <v>4</v>
      </c>
      <c r="J37" s="310">
        <v>27</v>
      </c>
      <c r="K37" s="83"/>
      <c r="L37" s="352"/>
      <c r="N37" s="353"/>
      <c r="O37" s="316"/>
      <c r="P37" s="433">
        <v>0.034722222222222224</v>
      </c>
      <c r="Q37" s="434">
        <f>+F37/P37</f>
        <v>0.265</v>
      </c>
      <c r="R37" s="428">
        <v>99</v>
      </c>
      <c r="S37" s="435">
        <f>+P37-TIME(0,1,25)</f>
        <v>0.03373842592592593</v>
      </c>
    </row>
    <row r="38" spans="1:20" ht="15">
      <c r="A38" s="307">
        <v>32</v>
      </c>
      <c r="B38" s="308" t="s">
        <v>558</v>
      </c>
      <c r="C38" s="308" t="s">
        <v>557</v>
      </c>
      <c r="D38" s="307"/>
      <c r="E38" s="307">
        <v>16</v>
      </c>
      <c r="F38" s="327"/>
      <c r="G38" s="327">
        <f>TIME(0,13,17)</f>
        <v>0.009224537037037036</v>
      </c>
      <c r="H38" s="327">
        <f t="shared" si="0"/>
        <v>0.009224537037037036</v>
      </c>
      <c r="I38" s="310">
        <v>5</v>
      </c>
      <c r="J38" s="310">
        <v>26</v>
      </c>
      <c r="K38" s="83">
        <v>0.03333333333333333</v>
      </c>
      <c r="L38" s="352">
        <f>+G38/K38</f>
        <v>0.27673611111111107</v>
      </c>
      <c r="M38" s="15">
        <v>89</v>
      </c>
      <c r="N38" s="353">
        <f>+K38-TIME(0,0,24)</f>
        <v>0.03305555555555555</v>
      </c>
      <c r="O38" s="316"/>
      <c r="P38" s="433"/>
      <c r="Q38" s="434"/>
      <c r="S38" s="435"/>
      <c r="T38" s="15"/>
    </row>
    <row r="39" spans="1:20" ht="15">
      <c r="A39" s="303">
        <v>33</v>
      </c>
      <c r="B39" s="304" t="s">
        <v>31</v>
      </c>
      <c r="C39" s="304" t="s">
        <v>75</v>
      </c>
      <c r="D39" s="303">
        <v>35</v>
      </c>
      <c r="E39" s="303">
        <v>17</v>
      </c>
      <c r="F39" s="325">
        <f>TIME(0,15,52)</f>
        <v>0.011018518518518518</v>
      </c>
      <c r="G39" s="325">
        <f>TIME(0,13,19)</f>
        <v>0.009247685185185185</v>
      </c>
      <c r="H39" s="325">
        <f aca="true" t="shared" si="2" ref="H39:H67">MIN(G39,F39)</f>
        <v>0.009247685185185185</v>
      </c>
      <c r="I39" s="306">
        <v>8</v>
      </c>
      <c r="J39" s="306">
        <v>23</v>
      </c>
      <c r="K39" s="83">
        <v>0.03434027777777778</v>
      </c>
      <c r="L39" s="352">
        <f>+G39/K39</f>
        <v>0.2692955847657566</v>
      </c>
      <c r="M39" s="15">
        <v>98</v>
      </c>
      <c r="N39" s="353">
        <f>+K39-TIME(0,1,18)</f>
        <v>0.0334375</v>
      </c>
      <c r="O39" s="426"/>
      <c r="P39" s="433">
        <v>0.031956018518518516</v>
      </c>
      <c r="Q39" s="434">
        <f>+F39/P39</f>
        <v>0.34480260775081495</v>
      </c>
      <c r="R39" s="428">
        <v>62</v>
      </c>
      <c r="S39" s="435">
        <f>+P39+TIME(0,1,30)</f>
        <v>0.032997685185185185</v>
      </c>
      <c r="T39" s="15"/>
    </row>
    <row r="40" spans="1:19" s="15" customFormat="1" ht="15">
      <c r="A40" s="230">
        <v>34</v>
      </c>
      <c r="B40" t="s">
        <v>356</v>
      </c>
      <c r="C40" t="s">
        <v>254</v>
      </c>
      <c r="D40" s="230">
        <v>23</v>
      </c>
      <c r="E40" s="230"/>
      <c r="F40" s="232">
        <f>TIME(0,13,20)</f>
        <v>0.00925925925925926</v>
      </c>
      <c r="G40" s="232"/>
      <c r="H40" s="232">
        <f t="shared" si="2"/>
        <v>0.00925925925925926</v>
      </c>
      <c r="I40"/>
      <c r="J40"/>
      <c r="K40" s="83"/>
      <c r="L40" s="352"/>
      <c r="M40"/>
      <c r="N40"/>
      <c r="O40" s="314"/>
      <c r="P40" s="433"/>
      <c r="Q40" s="434"/>
      <c r="R40" s="428"/>
      <c r="S40" s="428"/>
    </row>
    <row r="41" spans="1:20" ht="15">
      <c r="A41" s="307">
        <v>35</v>
      </c>
      <c r="B41" s="308" t="s">
        <v>218</v>
      </c>
      <c r="C41" s="308" t="s">
        <v>393</v>
      </c>
      <c r="D41" s="307">
        <v>28</v>
      </c>
      <c r="E41" s="307">
        <v>18</v>
      </c>
      <c r="F41" s="327">
        <f>TIME(0,14,5)</f>
        <v>0.009780092592592592</v>
      </c>
      <c r="G41" s="327">
        <f>TIME(0,13,24)</f>
        <v>0.009305555555555555</v>
      </c>
      <c r="H41" s="327">
        <f t="shared" si="2"/>
        <v>0.009305555555555555</v>
      </c>
      <c r="I41" s="310">
        <v>6</v>
      </c>
      <c r="J41" s="310">
        <v>25</v>
      </c>
      <c r="K41" s="83">
        <v>0.03525462962962963</v>
      </c>
      <c r="L41" s="352">
        <f>+G41/K41</f>
        <v>0.2639527248850952</v>
      </c>
      <c r="M41" s="15">
        <v>100</v>
      </c>
      <c r="N41" s="353">
        <f>+K41-TIME(0,1,30)</f>
        <v>0.03421296296296296</v>
      </c>
      <c r="O41" s="316"/>
      <c r="P41" s="433">
        <v>0.035034722222222224</v>
      </c>
      <c r="Q41" s="434">
        <f>+F41/P41</f>
        <v>0.2791542781631979</v>
      </c>
      <c r="R41" s="428">
        <v>89</v>
      </c>
      <c r="S41" s="435">
        <f>+P41-TIME(0,0,35)</f>
        <v>0.03462962962962963</v>
      </c>
      <c r="T41" s="15"/>
    </row>
    <row r="42" spans="1:19" s="15" customFormat="1" ht="15">
      <c r="A42" s="307">
        <v>36</v>
      </c>
      <c r="B42" s="308" t="s">
        <v>103</v>
      </c>
      <c r="C42" s="308" t="s">
        <v>135</v>
      </c>
      <c r="D42" s="307">
        <v>24</v>
      </c>
      <c r="E42" s="307"/>
      <c r="F42" s="327">
        <f>TIME(0,13,24)</f>
        <v>0.009305555555555555</v>
      </c>
      <c r="G42" s="327"/>
      <c r="H42" s="327">
        <f t="shared" si="2"/>
        <v>0.009305555555555555</v>
      </c>
      <c r="I42" s="310">
        <v>7</v>
      </c>
      <c r="J42" s="310">
        <v>24</v>
      </c>
      <c r="K42" s="83"/>
      <c r="L42" s="352"/>
      <c r="N42" s="353"/>
      <c r="O42" s="316"/>
      <c r="P42" s="433">
        <v>0.032499999999999994</v>
      </c>
      <c r="Q42" s="434">
        <f>+F42/P42</f>
        <v>0.28632478632478636</v>
      </c>
      <c r="R42" s="428">
        <v>73</v>
      </c>
      <c r="S42" s="435">
        <f>+P42+TIME(0,0,35)</f>
        <v>0.03290509259259259</v>
      </c>
    </row>
    <row r="43" spans="1:19" s="15" customFormat="1" ht="15">
      <c r="A43" s="307">
        <v>37</v>
      </c>
      <c r="B43" s="308" t="s">
        <v>228</v>
      </c>
      <c r="C43" s="308" t="s">
        <v>340</v>
      </c>
      <c r="D43" s="307"/>
      <c r="E43" s="307">
        <v>19</v>
      </c>
      <c r="F43" s="327"/>
      <c r="G43" s="327">
        <f>TIME(0,13,29)</f>
        <v>0.009363425925925926</v>
      </c>
      <c r="H43" s="327">
        <f t="shared" si="2"/>
        <v>0.009363425925925926</v>
      </c>
      <c r="I43" s="310">
        <v>8</v>
      </c>
      <c r="J43" s="310">
        <v>23</v>
      </c>
      <c r="K43" s="83">
        <v>0.034270833333333334</v>
      </c>
      <c r="L43" s="352">
        <f>+G43/K43</f>
        <v>0.27321850726106045</v>
      </c>
      <c r="M43" s="15">
        <v>95</v>
      </c>
      <c r="N43" s="353">
        <f>+K43-TIME(0,1,0)</f>
        <v>0.03357638888888889</v>
      </c>
      <c r="O43" s="316"/>
      <c r="P43" s="433"/>
      <c r="Q43" s="434"/>
      <c r="R43" s="428"/>
      <c r="S43" s="435"/>
    </row>
    <row r="44" spans="1:19" s="15" customFormat="1" ht="15">
      <c r="A44" s="307">
        <v>38</v>
      </c>
      <c r="B44" s="308" t="s">
        <v>314</v>
      </c>
      <c r="C44" s="308" t="s">
        <v>238</v>
      </c>
      <c r="D44" s="307">
        <v>25</v>
      </c>
      <c r="E44" s="307"/>
      <c r="F44" s="327">
        <f>TIME(0,13,31)</f>
        <v>0.009386574074074075</v>
      </c>
      <c r="G44" s="327"/>
      <c r="H44" s="327">
        <f t="shared" si="2"/>
        <v>0.009386574074074075</v>
      </c>
      <c r="I44" s="310">
        <v>9</v>
      </c>
      <c r="J44" s="310">
        <v>22</v>
      </c>
      <c r="K44" s="83"/>
      <c r="L44" s="352"/>
      <c r="N44" s="353"/>
      <c r="O44" s="316"/>
      <c r="P44" s="433">
        <v>0.032858796296296296</v>
      </c>
      <c r="Q44" s="434">
        <f>+F44/P44</f>
        <v>0.28566396618527656</v>
      </c>
      <c r="R44" s="428">
        <v>75</v>
      </c>
      <c r="S44" s="435">
        <f>+P44+TIME(0,0,20)</f>
        <v>0.033090277777777774</v>
      </c>
    </row>
    <row r="45" spans="1:20" ht="15">
      <c r="A45" s="307">
        <v>39</v>
      </c>
      <c r="B45" s="308" t="s">
        <v>621</v>
      </c>
      <c r="C45" s="308" t="s">
        <v>549</v>
      </c>
      <c r="D45" s="307"/>
      <c r="E45" s="307">
        <v>20</v>
      </c>
      <c r="F45" s="327"/>
      <c r="G45" s="327">
        <f>TIME(0,13,42)</f>
        <v>0.00951388888888889</v>
      </c>
      <c r="H45" s="327">
        <f t="shared" si="2"/>
        <v>0.00951388888888889</v>
      </c>
      <c r="I45" s="310">
        <v>10</v>
      </c>
      <c r="J45" s="310">
        <v>21</v>
      </c>
      <c r="K45" s="83">
        <v>0.03369212962962963</v>
      </c>
      <c r="L45" s="352">
        <f>+G45/K45</f>
        <v>0.28237718996908284</v>
      </c>
      <c r="M45" s="15">
        <v>83</v>
      </c>
      <c r="N45" s="353">
        <f>+K45+TIME(0,0,12)</f>
        <v>0.03383101851851852</v>
      </c>
      <c r="O45" s="316"/>
      <c r="P45" s="433"/>
      <c r="Q45" s="434"/>
      <c r="S45" s="435"/>
      <c r="T45" s="15"/>
    </row>
    <row r="46" spans="1:19" s="15" customFormat="1" ht="15">
      <c r="A46" s="256">
        <v>40</v>
      </c>
      <c r="B46" s="257" t="s">
        <v>518</v>
      </c>
      <c r="C46" s="257" t="s">
        <v>178</v>
      </c>
      <c r="D46" s="256"/>
      <c r="E46" s="256">
        <v>21</v>
      </c>
      <c r="F46" s="328"/>
      <c r="G46" s="328">
        <f>TIME(0,13,49)</f>
        <v>0.009594907407407408</v>
      </c>
      <c r="H46" s="328">
        <f t="shared" si="2"/>
        <v>0.009594907407407408</v>
      </c>
      <c r="I46" s="312">
        <v>1</v>
      </c>
      <c r="J46" s="312">
        <v>30</v>
      </c>
      <c r="K46" s="83">
        <v>0.03462962962962963</v>
      </c>
      <c r="L46" s="352">
        <f>+G46/K46</f>
        <v>0.277072192513369</v>
      </c>
      <c r="M46" s="15">
        <v>91</v>
      </c>
      <c r="N46" s="353">
        <f>+K46-TIME(0,0,36)</f>
        <v>0.03421296296296296</v>
      </c>
      <c r="O46" s="316"/>
      <c r="P46" s="433"/>
      <c r="Q46" s="434"/>
      <c r="R46" s="428"/>
      <c r="S46" s="435"/>
    </row>
    <row r="47" spans="1:19" s="15" customFormat="1" ht="15">
      <c r="A47" s="256">
        <v>41</v>
      </c>
      <c r="B47" s="257" t="s">
        <v>356</v>
      </c>
      <c r="C47" s="257" t="s">
        <v>140</v>
      </c>
      <c r="D47" s="256">
        <v>26</v>
      </c>
      <c r="E47" s="256"/>
      <c r="F47" s="328">
        <f>TIME(0,13,49)</f>
        <v>0.009594907407407408</v>
      </c>
      <c r="G47" s="328"/>
      <c r="H47" s="328">
        <f t="shared" si="2"/>
        <v>0.009594907407407408</v>
      </c>
      <c r="I47" s="312">
        <v>1</v>
      </c>
      <c r="J47" s="312">
        <v>30</v>
      </c>
      <c r="K47" s="83"/>
      <c r="L47" s="352"/>
      <c r="N47" s="353"/>
      <c r="O47" s="316"/>
      <c r="P47" s="433">
        <v>0.03788194444444444</v>
      </c>
      <c r="Q47" s="434">
        <f>+F47/P47</f>
        <v>0.2532844485181791</v>
      </c>
      <c r="R47" s="428">
        <v>100</v>
      </c>
      <c r="S47" s="435">
        <f>+P47-TIME(0,1,30)</f>
        <v>0.03684027777777777</v>
      </c>
    </row>
    <row r="48" spans="1:19" s="15" customFormat="1" ht="15">
      <c r="A48" s="256">
        <v>42</v>
      </c>
      <c r="B48" s="257" t="s">
        <v>33</v>
      </c>
      <c r="C48" s="257" t="s">
        <v>123</v>
      </c>
      <c r="D48" s="256">
        <v>29</v>
      </c>
      <c r="E48" s="256">
        <v>22</v>
      </c>
      <c r="F48" s="328">
        <f>TIME(0,14,6)</f>
        <v>0.009791666666666666</v>
      </c>
      <c r="G48" s="328">
        <f>TIME(0,14,20)</f>
        <v>0.009953703703703704</v>
      </c>
      <c r="H48" s="328">
        <f t="shared" si="2"/>
        <v>0.009791666666666666</v>
      </c>
      <c r="I48" s="312">
        <v>3</v>
      </c>
      <c r="J48" s="312">
        <v>28</v>
      </c>
      <c r="K48" s="83">
        <v>0.035590277777777776</v>
      </c>
      <c r="L48" s="352">
        <f>+G48/K48</f>
        <v>0.2796747967479675</v>
      </c>
      <c r="M48" s="15">
        <v>86</v>
      </c>
      <c r="N48" s="353">
        <f>+K48-TIME(0,0,6)</f>
        <v>0.035520833333333335</v>
      </c>
      <c r="O48" s="316"/>
      <c r="P48" s="433">
        <v>0.035069444444444445</v>
      </c>
      <c r="Q48" s="434">
        <f>+F48/P48</f>
        <v>0.2792079207920792</v>
      </c>
      <c r="R48" s="428">
        <v>88</v>
      </c>
      <c r="S48" s="435">
        <f>+P48-TIME(0,0,30)</f>
        <v>0.034722222222222224</v>
      </c>
    </row>
    <row r="49" spans="1:19" s="15" customFormat="1" ht="15">
      <c r="A49" s="256">
        <v>43</v>
      </c>
      <c r="B49" s="257" t="s">
        <v>187</v>
      </c>
      <c r="C49" s="257" t="s">
        <v>374</v>
      </c>
      <c r="D49" s="256">
        <v>30</v>
      </c>
      <c r="E49" s="256"/>
      <c r="F49" s="328">
        <f>TIME(0,14,10)</f>
        <v>0.009837962962962963</v>
      </c>
      <c r="G49" s="328"/>
      <c r="H49" s="328">
        <f t="shared" si="2"/>
        <v>0.009837962962962963</v>
      </c>
      <c r="I49" s="312">
        <v>4</v>
      </c>
      <c r="J49" s="312">
        <v>27</v>
      </c>
      <c r="K49" s="83"/>
      <c r="L49" s="352"/>
      <c r="N49" s="353"/>
      <c r="O49" s="316"/>
      <c r="P49" s="433">
        <v>0.035625</v>
      </c>
      <c r="Q49" s="434">
        <f>+F49/P49</f>
        <v>0.27615334632878497</v>
      </c>
      <c r="R49" s="428">
        <v>94</v>
      </c>
      <c r="S49" s="435">
        <f>+P49-TIME(0,1,0)</f>
        <v>0.034930555555555555</v>
      </c>
    </row>
    <row r="50" spans="1:20" s="15" customFormat="1" ht="15">
      <c r="A50" s="230">
        <v>44</v>
      </c>
      <c r="B50" t="s">
        <v>622</v>
      </c>
      <c r="C50" t="s">
        <v>38</v>
      </c>
      <c r="D50" s="230"/>
      <c r="E50" s="230">
        <v>23</v>
      </c>
      <c r="F50" s="232"/>
      <c r="G50" s="232">
        <f>TIME(0,14,25)</f>
        <v>0.010011574074074074</v>
      </c>
      <c r="H50" s="232">
        <f t="shared" si="2"/>
        <v>0.010011574074074074</v>
      </c>
      <c r="I50"/>
      <c r="J50"/>
      <c r="K50" s="83"/>
      <c r="L50" s="352"/>
      <c r="M50"/>
      <c r="N50"/>
      <c r="O50" s="314"/>
      <c r="P50" s="428"/>
      <c r="Q50" s="428"/>
      <c r="R50" s="428"/>
      <c r="S50" s="428"/>
      <c r="T50"/>
    </row>
    <row r="51" spans="1:19" s="15" customFormat="1" ht="15">
      <c r="A51" s="256">
        <v>45</v>
      </c>
      <c r="B51" s="257" t="s">
        <v>63</v>
      </c>
      <c r="C51" s="257" t="s">
        <v>178</v>
      </c>
      <c r="D51" s="256">
        <v>31</v>
      </c>
      <c r="E51" s="256">
        <v>24</v>
      </c>
      <c r="F51" s="328">
        <f>TIME(0,14,34)</f>
        <v>0.010115740740740741</v>
      </c>
      <c r="G51" s="328">
        <f>TIME(0,14,32)</f>
        <v>0.010092592592592592</v>
      </c>
      <c r="H51" s="328">
        <f t="shared" si="2"/>
        <v>0.010092592592592592</v>
      </c>
      <c r="I51" s="312">
        <v>5</v>
      </c>
      <c r="J51" s="312">
        <v>26</v>
      </c>
      <c r="K51" s="83">
        <v>0.03795138888888889</v>
      </c>
      <c r="L51" s="352">
        <f>+G51/K51</f>
        <v>0.265934736200061</v>
      </c>
      <c r="M51" s="15">
        <v>99</v>
      </c>
      <c r="N51" s="353">
        <f>+K51-TIME(0,1,24)</f>
        <v>0.03697916666666667</v>
      </c>
      <c r="O51" s="316"/>
      <c r="P51" s="433">
        <v>0.036412037037037034</v>
      </c>
      <c r="Q51" s="434">
        <f>+F51/P51</f>
        <v>0.2778130959949142</v>
      </c>
      <c r="R51" s="428">
        <v>92</v>
      </c>
      <c r="S51" s="435">
        <f>+P51-TIME(0,0,50)</f>
        <v>0.03583333333333333</v>
      </c>
    </row>
    <row r="52" spans="1:19" s="15" customFormat="1" ht="15">
      <c r="A52" s="256">
        <v>46</v>
      </c>
      <c r="B52" s="257" t="s">
        <v>360</v>
      </c>
      <c r="C52" s="257" t="s">
        <v>359</v>
      </c>
      <c r="D52" s="256"/>
      <c r="E52" s="256">
        <v>25</v>
      </c>
      <c r="F52" s="328"/>
      <c r="G52" s="328">
        <f>TIME(0,14,38)</f>
        <v>0.010162037037037037</v>
      </c>
      <c r="H52" s="328">
        <f t="shared" si="2"/>
        <v>0.010162037037037037</v>
      </c>
      <c r="I52" s="312">
        <v>6</v>
      </c>
      <c r="J52" s="312">
        <v>25</v>
      </c>
      <c r="K52" s="83">
        <v>0.035</v>
      </c>
      <c r="L52" s="352">
        <f>+G52/K52</f>
        <v>0.2903439153439153</v>
      </c>
      <c r="M52" s="15">
        <v>75</v>
      </c>
      <c r="N52" s="353">
        <f>+K52+TIME(0,1,0)</f>
        <v>0.035694444444444445</v>
      </c>
      <c r="O52" s="316"/>
      <c r="P52" s="433"/>
      <c r="Q52" s="434"/>
      <c r="R52" s="428"/>
      <c r="S52" s="435"/>
    </row>
    <row r="53" spans="1:19" s="15" customFormat="1" ht="15">
      <c r="A53" s="256">
        <v>47</v>
      </c>
      <c r="B53" s="257" t="s">
        <v>321</v>
      </c>
      <c r="C53" s="257" t="s">
        <v>190</v>
      </c>
      <c r="D53" s="256">
        <v>32</v>
      </c>
      <c r="E53" s="256">
        <v>26</v>
      </c>
      <c r="F53" s="328">
        <f>TIME(0,14,55)</f>
        <v>0.010358796296296295</v>
      </c>
      <c r="G53" s="328">
        <f>TIME(0,15,22)</f>
        <v>0.010671296296296297</v>
      </c>
      <c r="H53" s="328">
        <f t="shared" si="2"/>
        <v>0.010358796296296295</v>
      </c>
      <c r="I53" s="312">
        <v>7</v>
      </c>
      <c r="J53" s="312">
        <v>24</v>
      </c>
      <c r="K53" s="83">
        <v>0.0372337962962963</v>
      </c>
      <c r="L53" s="352">
        <f>+G53/K53</f>
        <v>0.2866024246192104</v>
      </c>
      <c r="M53" s="15">
        <v>80</v>
      </c>
      <c r="N53" s="353">
        <f>+K53+TIME(0,0,30)</f>
        <v>0.03758101851851852</v>
      </c>
      <c r="O53" s="316"/>
      <c r="P53" s="433">
        <v>0.036898148148148145</v>
      </c>
      <c r="Q53" s="434">
        <f>+F53/P53</f>
        <v>0.28074027603513174</v>
      </c>
      <c r="R53" s="428">
        <v>84</v>
      </c>
      <c r="S53" s="435">
        <f>+P53-TIME(0,0,10)</f>
        <v>0.0367824074074074</v>
      </c>
    </row>
    <row r="54" spans="1:19" s="15" customFormat="1" ht="15">
      <c r="A54" s="256">
        <v>48</v>
      </c>
      <c r="B54" s="257" t="s">
        <v>317</v>
      </c>
      <c r="C54" s="257" t="s">
        <v>116</v>
      </c>
      <c r="D54" s="256">
        <v>33</v>
      </c>
      <c r="E54" s="256">
        <v>27</v>
      </c>
      <c r="F54" s="328">
        <f>TIME(0,15,7)</f>
        <v>0.010497685185185186</v>
      </c>
      <c r="G54" s="328">
        <f>TIME(0,15,22)</f>
        <v>0.010671296296296297</v>
      </c>
      <c r="H54" s="328">
        <f t="shared" si="2"/>
        <v>0.010497685185185186</v>
      </c>
      <c r="I54" s="312">
        <v>8</v>
      </c>
      <c r="J54" s="312">
        <v>23</v>
      </c>
      <c r="K54" s="83">
        <v>0.03684027777777778</v>
      </c>
      <c r="L54" s="352">
        <f>+G54/K54</f>
        <v>0.2896638391454603</v>
      </c>
      <c r="M54" s="15">
        <v>76</v>
      </c>
      <c r="N54" s="353">
        <f>+K54+TIME(0,0,54)</f>
        <v>0.03746527777777778</v>
      </c>
      <c r="O54" s="316"/>
      <c r="P54" s="433">
        <v>0.035416666666666666</v>
      </c>
      <c r="Q54" s="434">
        <f>+F54/P54</f>
        <v>0.29640522875817</v>
      </c>
      <c r="R54" s="428">
        <v>65</v>
      </c>
      <c r="S54" s="435">
        <f>+P54+TIME(0,1,15)</f>
        <v>0.03628472222222222</v>
      </c>
    </row>
    <row r="55" spans="1:19" s="15" customFormat="1" ht="15">
      <c r="A55" s="256">
        <v>49</v>
      </c>
      <c r="B55" s="257" t="s">
        <v>73</v>
      </c>
      <c r="C55" s="257" t="s">
        <v>297</v>
      </c>
      <c r="D55" s="256">
        <v>34</v>
      </c>
      <c r="E55" s="256"/>
      <c r="F55" s="328">
        <f>TIME(0,15,7)</f>
        <v>0.010497685185185186</v>
      </c>
      <c r="G55" s="328"/>
      <c r="H55" s="328">
        <f t="shared" si="2"/>
        <v>0.010497685185185186</v>
      </c>
      <c r="I55" s="312">
        <v>9</v>
      </c>
      <c r="J55" s="312">
        <v>22</v>
      </c>
      <c r="K55" s="83"/>
      <c r="L55" s="352"/>
      <c r="N55" s="353"/>
      <c r="O55" s="316"/>
      <c r="P55" s="433">
        <v>0.03805555555555556</v>
      </c>
      <c r="Q55" s="434">
        <f>+F55/P55</f>
        <v>0.27585158150851585</v>
      </c>
      <c r="R55" s="428">
        <v>95</v>
      </c>
      <c r="S55" s="435">
        <f>+P55-TIME(0,1,5)</f>
        <v>0.03730324074074074</v>
      </c>
    </row>
    <row r="56" spans="1:20" s="15" customFormat="1" ht="15">
      <c r="A56" s="313">
        <v>50</v>
      </c>
      <c r="B56" s="314" t="s">
        <v>379</v>
      </c>
      <c r="C56" s="314" t="s">
        <v>341</v>
      </c>
      <c r="D56" s="313"/>
      <c r="E56" s="313">
        <v>28</v>
      </c>
      <c r="F56" s="399"/>
      <c r="G56" s="411">
        <f>TIME(0,16,7)</f>
        <v>0.01119212962962963</v>
      </c>
      <c r="H56" s="411">
        <f t="shared" si="2"/>
        <v>0.01119212962962963</v>
      </c>
      <c r="I56" s="314">
        <v>1</v>
      </c>
      <c r="J56" s="314">
        <v>30</v>
      </c>
      <c r="K56" s="83">
        <v>0.040219907407407406</v>
      </c>
      <c r="L56" s="352">
        <f>+G56/K56</f>
        <v>0.27827338129496404</v>
      </c>
      <c r="M56" s="15">
        <v>88</v>
      </c>
      <c r="N56" s="353">
        <f>+K56-TIME(0,0,18)</f>
        <v>0.040011574074074074</v>
      </c>
      <c r="O56" s="314"/>
      <c r="P56" s="428"/>
      <c r="Q56" s="428"/>
      <c r="R56" s="428"/>
      <c r="S56" s="428"/>
      <c r="T56"/>
    </row>
    <row r="57" spans="1:19" s="15" customFormat="1" ht="15">
      <c r="A57" s="230">
        <v>51</v>
      </c>
      <c r="B57" t="s">
        <v>224</v>
      </c>
      <c r="C57" t="s">
        <v>524</v>
      </c>
      <c r="D57" s="230">
        <v>36</v>
      </c>
      <c r="E57" s="230"/>
      <c r="F57" s="232">
        <f>TIME(0,16,8)</f>
        <v>0.011203703703703704</v>
      </c>
      <c r="G57" s="232"/>
      <c r="H57" s="232">
        <f t="shared" si="2"/>
        <v>0.011203703703703704</v>
      </c>
      <c r="I57"/>
      <c r="J57"/>
      <c r="K57" s="83"/>
      <c r="L57" s="352"/>
      <c r="M57"/>
      <c r="N57"/>
      <c r="O57" s="314"/>
      <c r="P57" s="433"/>
      <c r="Q57" s="434"/>
      <c r="R57" s="428"/>
      <c r="S57" s="428"/>
    </row>
    <row r="58" spans="1:19" s="15" customFormat="1" ht="15">
      <c r="A58" s="317">
        <v>52</v>
      </c>
      <c r="B58" s="318" t="s">
        <v>228</v>
      </c>
      <c r="C58" s="318" t="s">
        <v>244</v>
      </c>
      <c r="D58" s="317"/>
      <c r="E58" s="317">
        <v>29</v>
      </c>
      <c r="F58" s="330"/>
      <c r="G58" s="330">
        <f>TIME(0,16,19)</f>
        <v>0.011331018518518518</v>
      </c>
      <c r="H58" s="330">
        <f t="shared" si="2"/>
        <v>0.011331018518518518</v>
      </c>
      <c r="I58" s="320">
        <v>1</v>
      </c>
      <c r="J58" s="320">
        <v>30</v>
      </c>
      <c r="K58" s="83">
        <v>0.04016203703703704</v>
      </c>
      <c r="L58" s="352">
        <f>+G58/K58</f>
        <v>0.28213256484149857</v>
      </c>
      <c r="M58" s="15">
        <v>84</v>
      </c>
      <c r="N58" s="353">
        <f>+K58+TIME(0,0,6)</f>
        <v>0.04023148148148148</v>
      </c>
      <c r="O58" s="316"/>
      <c r="P58" s="433"/>
      <c r="Q58" s="434"/>
      <c r="R58" s="428"/>
      <c r="S58" s="435"/>
    </row>
    <row r="59" spans="1:19" s="15" customFormat="1" ht="15">
      <c r="A59" s="317">
        <v>53</v>
      </c>
      <c r="B59" s="318" t="s">
        <v>189</v>
      </c>
      <c r="C59" s="318" t="s">
        <v>135</v>
      </c>
      <c r="D59" s="317">
        <v>37</v>
      </c>
      <c r="E59" s="317"/>
      <c r="F59" s="330">
        <f>TIME(0,16,44)</f>
        <v>0.011620370370370371</v>
      </c>
      <c r="G59" s="330"/>
      <c r="H59" s="330">
        <f t="shared" si="2"/>
        <v>0.011620370370370371</v>
      </c>
      <c r="I59" s="320">
        <v>2</v>
      </c>
      <c r="J59" s="320">
        <v>29</v>
      </c>
      <c r="K59" s="83"/>
      <c r="L59" s="352"/>
      <c r="N59" s="353"/>
      <c r="O59" s="316"/>
      <c r="P59" s="433">
        <v>0.043009259259259254</v>
      </c>
      <c r="Q59" s="434">
        <f aca="true" t="shared" si="3" ref="Q59:Q65">+F59/P59</f>
        <v>0.2701829924650162</v>
      </c>
      <c r="R59" s="428">
        <v>97</v>
      </c>
      <c r="S59" s="435">
        <f>+P59-TIME(0,1,15)</f>
        <v>0.0421412037037037</v>
      </c>
    </row>
    <row r="60" spans="1:19" s="15" customFormat="1" ht="15">
      <c r="A60" s="317">
        <v>54</v>
      </c>
      <c r="B60" s="318" t="s">
        <v>218</v>
      </c>
      <c r="C60" s="318" t="s">
        <v>292</v>
      </c>
      <c r="D60" s="317">
        <v>38</v>
      </c>
      <c r="E60" s="317">
        <v>30</v>
      </c>
      <c r="F60" s="330">
        <f>TIME(0,16,47)</f>
        <v>0.011655092592592594</v>
      </c>
      <c r="G60" s="330">
        <f>TIME(0,16,57)</f>
        <v>0.011770833333333333</v>
      </c>
      <c r="H60" s="330">
        <f t="shared" si="2"/>
        <v>0.011655092592592594</v>
      </c>
      <c r="I60" s="320">
        <v>3</v>
      </c>
      <c r="J60" s="320">
        <v>28</v>
      </c>
      <c r="K60" s="83">
        <v>0.04085648148148149</v>
      </c>
      <c r="L60" s="352">
        <f>+G60/K60</f>
        <v>0.2881019830028328</v>
      </c>
      <c r="M60" s="15">
        <v>77</v>
      </c>
      <c r="N60" s="353">
        <f>+K60+TIME(0,0,48)</f>
        <v>0.04141203703703704</v>
      </c>
      <c r="O60" s="316"/>
      <c r="P60" s="433">
        <v>0.04340277777777778</v>
      </c>
      <c r="Q60" s="434">
        <f t="shared" si="3"/>
        <v>0.26853333333333335</v>
      </c>
      <c r="R60" s="428">
        <v>98</v>
      </c>
      <c r="S60" s="435">
        <f>+P60-TIME(0,1,20)</f>
        <v>0.042476851851851856</v>
      </c>
    </row>
    <row r="61" spans="1:19" s="15" customFormat="1" ht="15">
      <c r="A61" s="317">
        <v>55</v>
      </c>
      <c r="B61" s="318" t="s">
        <v>265</v>
      </c>
      <c r="C61" s="318" t="s">
        <v>264</v>
      </c>
      <c r="D61" s="317">
        <v>39</v>
      </c>
      <c r="E61" s="317">
        <v>32</v>
      </c>
      <c r="F61" s="330">
        <f>TIME(0,16,54)</f>
        <v>0.011736111111111109</v>
      </c>
      <c r="G61" s="330">
        <f>TIME(0,17,40)</f>
        <v>0.012268518518518519</v>
      </c>
      <c r="H61" s="330">
        <f t="shared" si="2"/>
        <v>0.011736111111111109</v>
      </c>
      <c r="I61" s="320">
        <v>4</v>
      </c>
      <c r="J61" s="320">
        <v>27</v>
      </c>
      <c r="K61" s="83">
        <v>0.04271990740740741</v>
      </c>
      <c r="L61" s="352">
        <f>+G61/K61</f>
        <v>0.28718504470333245</v>
      </c>
      <c r="M61" s="15">
        <v>78</v>
      </c>
      <c r="N61" s="353">
        <f>+K61+TIME(0,0,42)</f>
        <v>0.04320601851851852</v>
      </c>
      <c r="O61" s="316"/>
      <c r="P61" s="433">
        <v>0.0418287037037037</v>
      </c>
      <c r="Q61" s="434">
        <f t="shared" si="3"/>
        <v>0.2805755395683453</v>
      </c>
      <c r="R61" s="428">
        <v>86</v>
      </c>
      <c r="S61" s="435">
        <f>+P61-TIME(0,0,20)</f>
        <v>0.04159722222222222</v>
      </c>
    </row>
    <row r="62" spans="1:20" s="15" customFormat="1" ht="15">
      <c r="A62" s="317">
        <v>56</v>
      </c>
      <c r="B62" s="318" t="s">
        <v>383</v>
      </c>
      <c r="C62" s="318" t="s">
        <v>382</v>
      </c>
      <c r="D62" s="317">
        <v>40</v>
      </c>
      <c r="E62" s="317">
        <v>31</v>
      </c>
      <c r="F62" s="330">
        <f>TIME(0,16,55)</f>
        <v>0.011747685185185186</v>
      </c>
      <c r="G62" s="330">
        <f>TIME(0,17,20)</f>
        <v>0.012037037037037035</v>
      </c>
      <c r="H62" s="330">
        <f t="shared" si="2"/>
        <v>0.011747685185185186</v>
      </c>
      <c r="I62" s="320">
        <v>5</v>
      </c>
      <c r="J62" s="320">
        <v>26</v>
      </c>
      <c r="K62" s="83">
        <v>0.04111111111111111</v>
      </c>
      <c r="L62" s="352">
        <f>+G62/K62</f>
        <v>0.29279279279279274</v>
      </c>
      <c r="M62" s="15">
        <v>74</v>
      </c>
      <c r="N62" s="353">
        <f>+K62+TIME(0,1,6)</f>
        <v>0.041875</v>
      </c>
      <c r="O62" s="316"/>
      <c r="P62" s="433">
        <v>0.0415625</v>
      </c>
      <c r="Q62" s="434">
        <f t="shared" si="3"/>
        <v>0.2826510721247563</v>
      </c>
      <c r="R62" s="428">
        <v>82</v>
      </c>
      <c r="S62" s="435">
        <f>+P62</f>
        <v>0.0415625</v>
      </c>
      <c r="T62"/>
    </row>
    <row r="63" spans="1:20" ht="15">
      <c r="A63" s="317">
        <v>57</v>
      </c>
      <c r="B63" s="318" t="s">
        <v>224</v>
      </c>
      <c r="C63" s="318" t="s">
        <v>263</v>
      </c>
      <c r="D63" s="317">
        <v>41</v>
      </c>
      <c r="E63" s="317"/>
      <c r="F63" s="330">
        <f>TIME(0,17,9)</f>
        <v>0.011909722222222223</v>
      </c>
      <c r="G63" s="330"/>
      <c r="H63" s="330">
        <f t="shared" si="2"/>
        <v>0.011909722222222223</v>
      </c>
      <c r="I63" s="320">
        <v>6</v>
      </c>
      <c r="J63" s="320">
        <v>25</v>
      </c>
      <c r="K63" s="83"/>
      <c r="L63" s="352"/>
      <c r="M63" s="15"/>
      <c r="N63" s="353"/>
      <c r="O63" s="316"/>
      <c r="P63" s="433">
        <v>0.042777777777777776</v>
      </c>
      <c r="Q63" s="434">
        <f t="shared" si="3"/>
        <v>0.27840909090909094</v>
      </c>
      <c r="R63" s="428">
        <v>91</v>
      </c>
      <c r="S63" s="435">
        <f>+P63-TIME(0,0,45)</f>
        <v>0.042256944444444444</v>
      </c>
      <c r="T63" s="15"/>
    </row>
    <row r="64" spans="1:19" s="15" customFormat="1" ht="15">
      <c r="A64" s="317">
        <v>58</v>
      </c>
      <c r="B64" s="318" t="s">
        <v>249</v>
      </c>
      <c r="C64" s="318" t="s">
        <v>210</v>
      </c>
      <c r="D64" s="317">
        <v>42</v>
      </c>
      <c r="E64" s="317"/>
      <c r="F64" s="330">
        <f>TIME(0,17,31)</f>
        <v>0.012164351851851852</v>
      </c>
      <c r="G64" s="330"/>
      <c r="H64" s="330">
        <f t="shared" si="2"/>
        <v>0.012164351851851852</v>
      </c>
      <c r="I64" s="320">
        <v>7</v>
      </c>
      <c r="J64" s="320">
        <v>24</v>
      </c>
      <c r="K64" s="83"/>
      <c r="L64" s="352"/>
      <c r="N64" s="353"/>
      <c r="O64" s="316"/>
      <c r="P64" s="433">
        <v>0.04327546296296297</v>
      </c>
      <c r="Q64" s="434">
        <f t="shared" si="3"/>
        <v>0.28109120085584377</v>
      </c>
      <c r="R64" s="428">
        <v>83</v>
      </c>
      <c r="S64" s="435">
        <f>+P64-TIME(0,0,5)</f>
        <v>0.0432175925925926</v>
      </c>
    </row>
    <row r="65" spans="1:20" ht="15">
      <c r="A65" s="317">
        <v>59</v>
      </c>
      <c r="B65" s="318" t="s">
        <v>392</v>
      </c>
      <c r="C65" s="318" t="s">
        <v>211</v>
      </c>
      <c r="D65" s="317">
        <v>43</v>
      </c>
      <c r="E65" s="317"/>
      <c r="F65" s="330">
        <f>TIME(0,18,11)</f>
        <v>0.012627314814814815</v>
      </c>
      <c r="G65" s="330"/>
      <c r="H65" s="330">
        <f t="shared" si="2"/>
        <v>0.012627314814814815</v>
      </c>
      <c r="I65" s="320">
        <v>8</v>
      </c>
      <c r="J65" s="320">
        <v>23</v>
      </c>
      <c r="K65" s="83"/>
      <c r="L65" s="352"/>
      <c r="M65" s="15"/>
      <c r="N65" s="353"/>
      <c r="O65" s="316"/>
      <c r="P65" s="433">
        <v>0.04513888888888889</v>
      </c>
      <c r="Q65" s="434">
        <f t="shared" si="3"/>
        <v>0.27974358974358976</v>
      </c>
      <c r="R65" s="428">
        <v>87</v>
      </c>
      <c r="S65" s="435">
        <f>+P65-TIME(0,0,25)</f>
        <v>0.044849537037037035</v>
      </c>
      <c r="T65" s="15"/>
    </row>
    <row r="66" spans="1:19" s="15" customFormat="1" ht="15">
      <c r="A66" s="317">
        <v>60</v>
      </c>
      <c r="B66" s="318" t="s">
        <v>507</v>
      </c>
      <c r="C66" s="318" t="s">
        <v>178</v>
      </c>
      <c r="D66" s="317"/>
      <c r="E66" s="317">
        <v>33</v>
      </c>
      <c r="F66" s="330"/>
      <c r="G66" s="330">
        <f>TIME(0,18,12)</f>
        <v>0.012638888888888889</v>
      </c>
      <c r="H66" s="330">
        <f t="shared" si="2"/>
        <v>0.012638888888888889</v>
      </c>
      <c r="I66" s="320">
        <v>9</v>
      </c>
      <c r="J66" s="320">
        <v>22</v>
      </c>
      <c r="K66" s="83">
        <v>0.04570601851851852</v>
      </c>
      <c r="L66" s="352">
        <f>+G66/K66</f>
        <v>0.2765257027095467</v>
      </c>
      <c r="M66" s="15">
        <v>90</v>
      </c>
      <c r="N66" s="353">
        <f>+K66-TIME(0,0,30)</f>
        <v>0.0453587962962963</v>
      </c>
      <c r="O66" s="316"/>
      <c r="P66" s="433"/>
      <c r="Q66" s="434"/>
      <c r="R66" s="428"/>
      <c r="S66" s="435"/>
    </row>
    <row r="67" spans="1:19" s="15" customFormat="1" ht="15">
      <c r="A67" s="317">
        <v>61</v>
      </c>
      <c r="B67" s="318" t="s">
        <v>245</v>
      </c>
      <c r="C67" s="318" t="s">
        <v>244</v>
      </c>
      <c r="D67" s="317">
        <v>44</v>
      </c>
      <c r="E67" s="317"/>
      <c r="F67" s="330">
        <f>TIME(0,19,57)</f>
        <v>0.013854166666666666</v>
      </c>
      <c r="G67" s="330"/>
      <c r="H67" s="330">
        <f t="shared" si="2"/>
        <v>0.013854166666666666</v>
      </c>
      <c r="I67" s="320">
        <v>10</v>
      </c>
      <c r="J67" s="320">
        <v>21</v>
      </c>
      <c r="K67" s="83"/>
      <c r="L67" s="352"/>
      <c r="N67" s="353"/>
      <c r="O67" s="316"/>
      <c r="P67" s="433">
        <v>0.04869212962962963</v>
      </c>
      <c r="Q67" s="434">
        <f>+F67/P67</f>
        <v>0.2845257903494176</v>
      </c>
      <c r="R67" s="428">
        <v>78</v>
      </c>
      <c r="S67" s="435">
        <f>+P67+TIME(0,0,10)</f>
        <v>0.04880787037037037</v>
      </c>
    </row>
    <row r="68" spans="1:8" ht="15">
      <c r="A68"/>
      <c r="F68"/>
      <c r="G68"/>
      <c r="H68"/>
    </row>
    <row r="69" spans="1:8" ht="15">
      <c r="A69"/>
      <c r="F69"/>
      <c r="G69"/>
      <c r="H69"/>
    </row>
    <row r="70" spans="1:8" ht="15">
      <c r="A70"/>
      <c r="F70"/>
      <c r="G70"/>
      <c r="H70"/>
    </row>
    <row r="71" spans="1:8" ht="15">
      <c r="A71"/>
      <c r="F71"/>
      <c r="G71"/>
      <c r="H7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40">
      <selection activeCell="H47" sqref="H47"/>
    </sheetView>
  </sheetViews>
  <sheetFormatPr defaultColWidth="9.140625" defaultRowHeight="15"/>
  <cols>
    <col min="2" max="2" width="8.8515625" style="0" bestFit="1" customWidth="1"/>
    <col min="3" max="3" width="13.8515625" style="0" bestFit="1" customWidth="1"/>
    <col min="4" max="4" width="9.140625" style="379" customWidth="1"/>
    <col min="7" max="7" width="9.140625" style="379" customWidth="1"/>
    <col min="10" max="10" width="13.57421875" style="0" bestFit="1" customWidth="1"/>
  </cols>
  <sheetData>
    <row r="1" spans="1:7" ht="18">
      <c r="A1" s="246" t="s">
        <v>609</v>
      </c>
      <c r="G1" s="344"/>
    </row>
    <row r="2" spans="1:7" ht="18">
      <c r="A2" s="246"/>
      <c r="G2" s="344"/>
    </row>
    <row r="3" spans="1:10" ht="15">
      <c r="A3" s="230"/>
      <c r="G3" s="347" t="s">
        <v>599</v>
      </c>
      <c r="H3" s="346"/>
      <c r="I3" s="346"/>
      <c r="J3" s="347"/>
    </row>
    <row r="4" spans="1:10" s="251" customFormat="1" ht="18" customHeight="1">
      <c r="A4" s="247"/>
      <c r="B4" s="248"/>
      <c r="C4" s="247"/>
      <c r="D4" s="348"/>
      <c r="G4" s="347" t="s">
        <v>481</v>
      </c>
      <c r="H4" s="346"/>
      <c r="I4" s="346"/>
      <c r="J4" s="347" t="s">
        <v>610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ht="15">
      <c r="A8" s="295">
        <v>1</v>
      </c>
      <c r="B8" s="296" t="s">
        <v>607</v>
      </c>
      <c r="C8" s="296" t="s">
        <v>308</v>
      </c>
      <c r="D8" s="394">
        <v>0.024895833333333336</v>
      </c>
      <c r="E8" s="298">
        <v>1</v>
      </c>
      <c r="F8" s="298">
        <v>30</v>
      </c>
      <c r="G8" s="379">
        <v>0.023206018518518515</v>
      </c>
      <c r="H8" s="352">
        <f aca="true" t="shared" si="0" ref="H8:H42">+D8/G8</f>
        <v>1.0728179551122197</v>
      </c>
      <c r="I8" s="15">
        <v>61</v>
      </c>
      <c r="J8" s="393">
        <v>0.023865740740740736</v>
      </c>
    </row>
    <row r="9" spans="1:10" s="15" customFormat="1" ht="15">
      <c r="A9" s="295">
        <v>2</v>
      </c>
      <c r="B9" s="296" t="s">
        <v>427</v>
      </c>
      <c r="C9" s="296" t="s">
        <v>426</v>
      </c>
      <c r="D9" s="394">
        <v>0.025880787037037032</v>
      </c>
      <c r="E9" s="298">
        <v>2</v>
      </c>
      <c r="F9" s="298">
        <v>29</v>
      </c>
      <c r="G9" s="379">
        <v>0.02442129629629629</v>
      </c>
      <c r="H9" s="352">
        <f t="shared" si="0"/>
        <v>1.0597630331753554</v>
      </c>
      <c r="I9" s="15">
        <v>68</v>
      </c>
      <c r="J9" s="393">
        <v>0.024768518518518513</v>
      </c>
    </row>
    <row r="10" spans="1:10" ht="15">
      <c r="A10" s="295">
        <v>3</v>
      </c>
      <c r="B10" s="296" t="s">
        <v>31</v>
      </c>
      <c r="C10" s="296" t="s">
        <v>32</v>
      </c>
      <c r="D10" s="394">
        <v>0.02692939814814815</v>
      </c>
      <c r="E10" s="298">
        <v>3</v>
      </c>
      <c r="F10" s="298">
        <v>28</v>
      </c>
      <c r="G10" s="379">
        <v>0.025833333333333333</v>
      </c>
      <c r="H10" s="352">
        <f t="shared" si="0"/>
        <v>1.0424283154121865</v>
      </c>
      <c r="I10" s="15">
        <v>78</v>
      </c>
      <c r="J10" s="393">
        <v>0.02574074074074074</v>
      </c>
    </row>
    <row r="11" spans="1:10" s="15" customFormat="1" ht="15">
      <c r="A11" s="295">
        <v>4</v>
      </c>
      <c r="B11" s="296" t="s">
        <v>52</v>
      </c>
      <c r="C11" s="296" t="s">
        <v>274</v>
      </c>
      <c r="D11" s="394">
        <v>0.027575231481481485</v>
      </c>
      <c r="E11" s="298">
        <v>4</v>
      </c>
      <c r="F11" s="298">
        <v>27</v>
      </c>
      <c r="G11" s="379">
        <v>0.025694444444444447</v>
      </c>
      <c r="H11" s="352">
        <f t="shared" si="0"/>
        <v>1.0731981981981982</v>
      </c>
      <c r="I11" s="15">
        <v>60</v>
      </c>
      <c r="J11" s="393">
        <v>0.026388888888888892</v>
      </c>
    </row>
    <row r="12" spans="1:10" s="15" customFormat="1" ht="15">
      <c r="A12" s="295">
        <v>5</v>
      </c>
      <c r="B12" s="296" t="s">
        <v>408</v>
      </c>
      <c r="C12" s="296" t="s">
        <v>420</v>
      </c>
      <c r="D12" s="394">
        <v>0.027824074074074074</v>
      </c>
      <c r="E12" s="298">
        <v>5</v>
      </c>
      <c r="F12" s="298">
        <v>26</v>
      </c>
      <c r="G12" s="379">
        <v>0.025949074074074072</v>
      </c>
      <c r="H12" s="352">
        <f t="shared" si="0"/>
        <v>1.072256913470116</v>
      </c>
      <c r="I12" s="15">
        <v>62</v>
      </c>
      <c r="J12" s="393">
        <v>0.0265625</v>
      </c>
    </row>
    <row r="13" spans="1:10" ht="15">
      <c r="A13" s="303">
        <v>6</v>
      </c>
      <c r="B13" s="304" t="s">
        <v>63</v>
      </c>
      <c r="C13" s="304" t="s">
        <v>64</v>
      </c>
      <c r="D13" s="395">
        <v>0.029627314814814815</v>
      </c>
      <c r="E13" s="306">
        <v>1</v>
      </c>
      <c r="F13" s="306">
        <v>30</v>
      </c>
      <c r="G13" s="379">
        <v>0.027997685185185184</v>
      </c>
      <c r="H13" s="352">
        <f t="shared" si="0"/>
        <v>1.0582058701942951</v>
      </c>
      <c r="I13" s="15">
        <v>69</v>
      </c>
      <c r="J13" s="393">
        <v>0.028310185185185185</v>
      </c>
    </row>
    <row r="14" spans="1:10" s="15" customFormat="1" ht="15">
      <c r="A14" s="299">
        <v>7</v>
      </c>
      <c r="B14" s="300" t="s">
        <v>219</v>
      </c>
      <c r="C14" s="300" t="s">
        <v>275</v>
      </c>
      <c r="D14" s="396">
        <v>0.030260416666666668</v>
      </c>
      <c r="E14" s="302">
        <v>1</v>
      </c>
      <c r="F14" s="302">
        <v>30</v>
      </c>
      <c r="G14" s="379">
        <v>0.027511574074074074</v>
      </c>
      <c r="H14" s="352">
        <f t="shared" si="0"/>
        <v>1.0999158603281447</v>
      </c>
      <c r="I14" s="15">
        <v>54</v>
      </c>
      <c r="J14" s="393">
        <v>0.02847222222222222</v>
      </c>
    </row>
    <row r="15" spans="1:10" ht="15">
      <c r="A15" s="299">
        <v>8</v>
      </c>
      <c r="B15" s="300" t="s">
        <v>63</v>
      </c>
      <c r="C15" s="300" t="s">
        <v>110</v>
      </c>
      <c r="D15" s="396">
        <v>0.030465277777777775</v>
      </c>
      <c r="E15" s="302">
        <v>2</v>
      </c>
      <c r="F15" s="302">
        <v>29</v>
      </c>
      <c r="G15" s="379">
        <v>0.02953703703703704</v>
      </c>
      <c r="H15" s="352">
        <f t="shared" si="0"/>
        <v>1.0314263322884012</v>
      </c>
      <c r="I15" s="15">
        <v>87</v>
      </c>
      <c r="J15" s="393">
        <v>0.029050925925925928</v>
      </c>
    </row>
    <row r="16" spans="1:10" s="15" customFormat="1" ht="15">
      <c r="A16" s="303">
        <v>9</v>
      </c>
      <c r="B16" s="304" t="s">
        <v>406</v>
      </c>
      <c r="C16" s="304" t="s">
        <v>582</v>
      </c>
      <c r="D16" s="395">
        <v>0.030929398148148147</v>
      </c>
      <c r="E16" s="306">
        <v>2</v>
      </c>
      <c r="F16" s="306">
        <v>29</v>
      </c>
      <c r="G16" s="379">
        <v>0.028738425925925928</v>
      </c>
      <c r="H16" s="352">
        <f t="shared" si="0"/>
        <v>1.0762384212645992</v>
      </c>
      <c r="I16" s="15">
        <v>58</v>
      </c>
      <c r="J16" s="393">
        <v>0.029525462962962965</v>
      </c>
    </row>
    <row r="17" spans="1:10" ht="15">
      <c r="A17" s="303">
        <v>10</v>
      </c>
      <c r="B17" s="304" t="s">
        <v>460</v>
      </c>
      <c r="C17" s="304" t="s">
        <v>114</v>
      </c>
      <c r="D17" s="395">
        <v>0.03149074074074074</v>
      </c>
      <c r="E17" s="306">
        <v>3</v>
      </c>
      <c r="F17" s="306">
        <v>28</v>
      </c>
      <c r="G17" s="379">
        <v>0.03008101851851852</v>
      </c>
      <c r="H17" s="352">
        <f t="shared" si="0"/>
        <v>1.046864178530204</v>
      </c>
      <c r="I17" s="15">
        <v>76</v>
      </c>
      <c r="J17" s="393">
        <v>0.03008101851851852</v>
      </c>
    </row>
    <row r="18" spans="1:10" ht="15">
      <c r="A18" s="307">
        <v>11</v>
      </c>
      <c r="B18" s="308" t="s">
        <v>314</v>
      </c>
      <c r="C18" s="308" t="s">
        <v>238</v>
      </c>
      <c r="D18" s="397">
        <v>0.032212962962962964</v>
      </c>
      <c r="E18" s="310">
        <v>1</v>
      </c>
      <c r="F18" s="310">
        <v>30</v>
      </c>
      <c r="G18" s="379">
        <v>0.031226851851851853</v>
      </c>
      <c r="H18" s="352">
        <f t="shared" si="0"/>
        <v>1.0315789473684212</v>
      </c>
      <c r="I18" s="15">
        <v>86</v>
      </c>
      <c r="J18" s="393">
        <v>0.030787037037037036</v>
      </c>
    </row>
    <row r="19" spans="1:10" s="15" customFormat="1" ht="15">
      <c r="A19" s="299">
        <v>12</v>
      </c>
      <c r="B19" s="300" t="s">
        <v>187</v>
      </c>
      <c r="C19" s="300" t="s">
        <v>88</v>
      </c>
      <c r="D19" s="396">
        <v>0.03234953703703704</v>
      </c>
      <c r="E19" s="302">
        <v>3</v>
      </c>
      <c r="F19" s="302">
        <v>28</v>
      </c>
      <c r="G19" s="379">
        <v>0.02953703703703704</v>
      </c>
      <c r="H19" s="352">
        <f t="shared" si="0"/>
        <v>1.0952194357366771</v>
      </c>
      <c r="I19" s="15">
        <v>55</v>
      </c>
      <c r="J19" s="393">
        <v>0.03045138888888889</v>
      </c>
    </row>
    <row r="20" spans="1:10" ht="15">
      <c r="A20" s="299">
        <v>13</v>
      </c>
      <c r="B20" s="300" t="s">
        <v>219</v>
      </c>
      <c r="C20" s="300" t="s">
        <v>466</v>
      </c>
      <c r="D20" s="396">
        <v>0.03235648148148148</v>
      </c>
      <c r="E20" s="302">
        <v>4</v>
      </c>
      <c r="F20" s="302">
        <v>27</v>
      </c>
      <c r="G20" s="379">
        <v>0.030821759259259257</v>
      </c>
      <c r="H20" s="352">
        <f t="shared" si="0"/>
        <v>1.0497934660157717</v>
      </c>
      <c r="I20" s="15">
        <v>74</v>
      </c>
      <c r="J20" s="393">
        <v>0.03091435185185185</v>
      </c>
    </row>
    <row r="21" spans="1:10" s="15" customFormat="1" ht="15">
      <c r="A21" s="307">
        <v>14</v>
      </c>
      <c r="B21" s="308" t="s">
        <v>219</v>
      </c>
      <c r="C21" s="308" t="s">
        <v>556</v>
      </c>
      <c r="D21" s="397">
        <v>0.03237152777777778</v>
      </c>
      <c r="E21" s="310">
        <v>2</v>
      </c>
      <c r="F21" s="310">
        <v>29</v>
      </c>
      <c r="G21" s="379">
        <v>0.0324537037037037</v>
      </c>
      <c r="H21" s="352">
        <f t="shared" si="0"/>
        <v>0.9974679029957205</v>
      </c>
      <c r="I21" s="15">
        <v>96</v>
      </c>
      <c r="J21" s="393">
        <v>0.03158564814814815</v>
      </c>
    </row>
    <row r="22" spans="1:10" s="15" customFormat="1" ht="15">
      <c r="A22" s="299">
        <v>15</v>
      </c>
      <c r="B22" s="300" t="s">
        <v>314</v>
      </c>
      <c r="C22" s="300" t="s">
        <v>101</v>
      </c>
      <c r="D22" s="396">
        <v>0.032636574074074075</v>
      </c>
      <c r="E22" s="302">
        <v>5</v>
      </c>
      <c r="F22" s="302">
        <v>26</v>
      </c>
      <c r="G22" s="379">
        <v>0.030925925925925926</v>
      </c>
      <c r="H22" s="352">
        <f t="shared" si="0"/>
        <v>1.055314371257485</v>
      </c>
      <c r="I22" s="15">
        <v>70</v>
      </c>
      <c r="J22" s="393">
        <v>0.03119212962962963</v>
      </c>
    </row>
    <row r="23" spans="1:10" s="15" customFormat="1" ht="15">
      <c r="A23" s="299">
        <v>16</v>
      </c>
      <c r="B23" s="300" t="s">
        <v>220</v>
      </c>
      <c r="C23" s="300" t="s">
        <v>354</v>
      </c>
      <c r="D23" s="396">
        <v>0.03273263888888889</v>
      </c>
      <c r="E23" s="302">
        <v>6</v>
      </c>
      <c r="F23" s="302">
        <v>25</v>
      </c>
      <c r="G23" s="379">
        <v>0.03140046296296296</v>
      </c>
      <c r="H23" s="352">
        <f t="shared" si="0"/>
        <v>1.0424253593807593</v>
      </c>
      <c r="I23" s="15">
        <v>79</v>
      </c>
      <c r="J23" s="393">
        <v>0.031261574074074074</v>
      </c>
    </row>
    <row r="24" spans="1:10" ht="15">
      <c r="A24" s="299">
        <v>17</v>
      </c>
      <c r="B24" s="300" t="s">
        <v>235</v>
      </c>
      <c r="C24" s="300" t="s">
        <v>236</v>
      </c>
      <c r="D24" s="396">
        <v>0.03280092592592593</v>
      </c>
      <c r="E24" s="302">
        <v>7</v>
      </c>
      <c r="F24" s="302">
        <v>24</v>
      </c>
      <c r="G24" s="379">
        <v>0.031342592592592596</v>
      </c>
      <c r="H24" s="352">
        <f t="shared" si="0"/>
        <v>1.0465288035450517</v>
      </c>
      <c r="I24" s="15">
        <v>77</v>
      </c>
      <c r="J24" s="393">
        <v>0.0312962962962963</v>
      </c>
    </row>
    <row r="25" spans="1:10" s="15" customFormat="1" ht="15">
      <c r="A25" s="307">
        <v>18</v>
      </c>
      <c r="B25" s="308" t="s">
        <v>103</v>
      </c>
      <c r="C25" s="308" t="s">
        <v>104</v>
      </c>
      <c r="D25" s="397">
        <v>0.03298611111111111</v>
      </c>
      <c r="E25" s="310">
        <v>3</v>
      </c>
      <c r="F25" s="310">
        <v>28</v>
      </c>
      <c r="G25" s="379">
        <v>0.033368055555555554</v>
      </c>
      <c r="H25" s="352">
        <f t="shared" si="0"/>
        <v>0.9885535900104059</v>
      </c>
      <c r="I25" s="15">
        <v>97</v>
      </c>
      <c r="J25" s="393">
        <v>0.0324537037037037</v>
      </c>
    </row>
    <row r="26" spans="1:10" ht="15">
      <c r="A26" s="299">
        <v>19</v>
      </c>
      <c r="B26" s="300" t="s">
        <v>117</v>
      </c>
      <c r="C26" s="300" t="s">
        <v>118</v>
      </c>
      <c r="D26" s="396">
        <v>0.03368171296296296</v>
      </c>
      <c r="E26" s="302">
        <v>8</v>
      </c>
      <c r="F26" s="302">
        <v>23</v>
      </c>
      <c r="G26" s="379">
        <v>0.03456018518518519</v>
      </c>
      <c r="H26" s="352">
        <f t="shared" si="0"/>
        <v>0.9745813797722706</v>
      </c>
      <c r="I26" s="15">
        <v>99</v>
      </c>
      <c r="J26" s="393">
        <v>0.033553240740740745</v>
      </c>
    </row>
    <row r="27" spans="1:10" s="15" customFormat="1" ht="15">
      <c r="A27" s="307">
        <v>20</v>
      </c>
      <c r="B27" s="308" t="s">
        <v>276</v>
      </c>
      <c r="C27" s="308" t="s">
        <v>38</v>
      </c>
      <c r="D27" s="397">
        <v>0.03403819444444444</v>
      </c>
      <c r="E27" s="310">
        <v>4</v>
      </c>
      <c r="F27" s="310">
        <v>27</v>
      </c>
      <c r="G27" s="379">
        <v>0.03211805555555556</v>
      </c>
      <c r="H27" s="352">
        <f t="shared" si="0"/>
        <v>1.0597837837837836</v>
      </c>
      <c r="I27" s="15">
        <v>67</v>
      </c>
      <c r="J27" s="393">
        <v>0.032511574074074075</v>
      </c>
    </row>
    <row r="28" spans="1:10" s="15" customFormat="1" ht="15">
      <c r="A28" s="299">
        <v>21</v>
      </c>
      <c r="B28" s="300" t="s">
        <v>115</v>
      </c>
      <c r="C28" s="300" t="s">
        <v>116</v>
      </c>
      <c r="D28" s="396">
        <v>0.03447337962962963</v>
      </c>
      <c r="E28" s="302">
        <v>9</v>
      </c>
      <c r="F28" s="302">
        <v>22</v>
      </c>
      <c r="G28" s="379">
        <v>0.031481481481481485</v>
      </c>
      <c r="H28" s="352">
        <f t="shared" si="0"/>
        <v>1.0950367647058823</v>
      </c>
      <c r="I28" s="15">
        <v>56</v>
      </c>
      <c r="J28" s="393">
        <v>0.03234953703703704</v>
      </c>
    </row>
    <row r="29" spans="1:10" s="15" customFormat="1" ht="15">
      <c r="A29" s="307">
        <v>22</v>
      </c>
      <c r="B29" s="308" t="s">
        <v>431</v>
      </c>
      <c r="C29" s="308" t="s">
        <v>432</v>
      </c>
      <c r="D29" s="397">
        <v>0.03503356481481481</v>
      </c>
      <c r="E29" s="310">
        <v>5</v>
      </c>
      <c r="F29" s="310">
        <v>26</v>
      </c>
      <c r="G29" s="379">
        <v>0.033680555555555554</v>
      </c>
      <c r="H29" s="352">
        <f t="shared" si="0"/>
        <v>1.0401718213058417</v>
      </c>
      <c r="I29" s="15">
        <v>81</v>
      </c>
      <c r="J29" s="393">
        <v>0.03346064814814815</v>
      </c>
    </row>
    <row r="30" spans="1:10" s="15" customFormat="1" ht="15">
      <c r="A30" s="307">
        <v>23</v>
      </c>
      <c r="B30" s="308" t="s">
        <v>413</v>
      </c>
      <c r="C30" s="308" t="s">
        <v>137</v>
      </c>
      <c r="D30" s="397">
        <v>0.035216435185185184</v>
      </c>
      <c r="E30" s="310">
        <v>6</v>
      </c>
      <c r="F30" s="310">
        <v>25</v>
      </c>
      <c r="G30" s="379">
        <v>0.03516203703703704</v>
      </c>
      <c r="H30" s="352">
        <f t="shared" si="0"/>
        <v>1.0015470704410796</v>
      </c>
      <c r="I30" s="15">
        <v>94</v>
      </c>
      <c r="J30" s="393">
        <v>0.034375</v>
      </c>
    </row>
    <row r="31" spans="1:10" s="15" customFormat="1" ht="15">
      <c r="A31" s="307">
        <v>24</v>
      </c>
      <c r="B31" s="308" t="s">
        <v>539</v>
      </c>
      <c r="C31" s="308" t="s">
        <v>549</v>
      </c>
      <c r="D31" s="397">
        <v>0.035305555555555555</v>
      </c>
      <c r="E31" s="310">
        <v>7</v>
      </c>
      <c r="F31" s="310">
        <v>24</v>
      </c>
      <c r="G31" s="379">
        <v>0.03320601851851852</v>
      </c>
      <c r="H31" s="352">
        <f t="shared" si="0"/>
        <v>1.0632276054374348</v>
      </c>
      <c r="I31" s="15">
        <v>65</v>
      </c>
      <c r="J31" s="393">
        <v>0.03369212962962963</v>
      </c>
    </row>
    <row r="32" spans="1:10" s="15" customFormat="1" ht="15">
      <c r="A32" s="307">
        <v>25</v>
      </c>
      <c r="B32" s="308" t="s">
        <v>228</v>
      </c>
      <c r="C32" s="308" t="s">
        <v>340</v>
      </c>
      <c r="D32" s="397">
        <v>0.03550578703703704</v>
      </c>
      <c r="E32" s="310">
        <v>8</v>
      </c>
      <c r="F32" s="310">
        <v>23</v>
      </c>
      <c r="G32" s="379">
        <v>0.03496527777777778</v>
      </c>
      <c r="H32" s="352">
        <f t="shared" si="0"/>
        <v>1.0154584574644157</v>
      </c>
      <c r="I32" s="15">
        <v>92</v>
      </c>
      <c r="J32" s="393">
        <v>0.03427083333333334</v>
      </c>
    </row>
    <row r="33" spans="1:10" ht="15">
      <c r="A33" s="303">
        <v>26</v>
      </c>
      <c r="B33" s="304" t="s">
        <v>31</v>
      </c>
      <c r="C33" s="304" t="s">
        <v>75</v>
      </c>
      <c r="D33" s="395">
        <v>0.0358587962962963</v>
      </c>
      <c r="E33" s="306">
        <v>4</v>
      </c>
      <c r="F33" s="306">
        <v>27</v>
      </c>
      <c r="G33" s="379">
        <v>0.0347337962962963</v>
      </c>
      <c r="H33" s="352">
        <f t="shared" si="0"/>
        <v>1.0323892035988005</v>
      </c>
      <c r="I33" s="15">
        <v>85</v>
      </c>
      <c r="J33" s="393">
        <v>0.03434027777777778</v>
      </c>
    </row>
    <row r="34" spans="1:10" s="15" customFormat="1" ht="15">
      <c r="A34" s="256">
        <v>27</v>
      </c>
      <c r="B34" s="257" t="s">
        <v>518</v>
      </c>
      <c r="C34" s="257" t="s">
        <v>178</v>
      </c>
      <c r="D34" s="398">
        <v>0.0359837962962963</v>
      </c>
      <c r="E34" s="312">
        <v>1</v>
      </c>
      <c r="F34" s="312">
        <v>30</v>
      </c>
      <c r="G34" s="379">
        <v>0.0350462962962963</v>
      </c>
      <c r="H34" s="352">
        <f t="shared" si="0"/>
        <v>1.0267503302509908</v>
      </c>
      <c r="I34" s="15">
        <v>89</v>
      </c>
      <c r="J34" s="393">
        <v>0.034479166666666665</v>
      </c>
    </row>
    <row r="35" spans="1:10" s="15" customFormat="1" ht="15">
      <c r="A35" s="256">
        <v>28</v>
      </c>
      <c r="B35" s="257" t="s">
        <v>139</v>
      </c>
      <c r="C35" s="257" t="s">
        <v>140</v>
      </c>
      <c r="D35" s="398">
        <v>0.036696759259259255</v>
      </c>
      <c r="E35" s="312">
        <v>2</v>
      </c>
      <c r="F35" s="312">
        <v>29</v>
      </c>
      <c r="G35" s="379">
        <v>0.03481481481481481</v>
      </c>
      <c r="H35" s="352">
        <f t="shared" si="0"/>
        <v>1.0540558510638298</v>
      </c>
      <c r="I35" s="15">
        <v>73</v>
      </c>
      <c r="J35" s="393">
        <v>0.0349537037037037</v>
      </c>
    </row>
    <row r="36" spans="1:10" s="15" customFormat="1" ht="15">
      <c r="A36" s="307">
        <v>29</v>
      </c>
      <c r="B36" s="308" t="s">
        <v>255</v>
      </c>
      <c r="C36" s="308" t="s">
        <v>135</v>
      </c>
      <c r="D36" s="397">
        <v>0.03676157407407408</v>
      </c>
      <c r="E36" s="310">
        <v>9</v>
      </c>
      <c r="F36" s="310">
        <v>22</v>
      </c>
      <c r="G36" s="379">
        <v>0.034375</v>
      </c>
      <c r="H36" s="352">
        <f t="shared" si="0"/>
        <v>1.0694276094276094</v>
      </c>
      <c r="I36" s="15">
        <v>63</v>
      </c>
      <c r="J36" s="393">
        <v>0.034942129629629635</v>
      </c>
    </row>
    <row r="37" spans="1:10" ht="15">
      <c r="A37" s="307">
        <v>30</v>
      </c>
      <c r="B37" s="308" t="s">
        <v>316</v>
      </c>
      <c r="C37" s="308" t="s">
        <v>315</v>
      </c>
      <c r="D37" s="397">
        <v>0.03680439814814815</v>
      </c>
      <c r="E37" s="310">
        <v>10</v>
      </c>
      <c r="F37" s="310">
        <v>21</v>
      </c>
      <c r="G37" s="379">
        <v>0.0344212962962963</v>
      </c>
      <c r="H37" s="352">
        <f t="shared" si="0"/>
        <v>1.069233355749832</v>
      </c>
      <c r="I37" s="15">
        <v>64</v>
      </c>
      <c r="J37" s="393">
        <v>0.03494212962962963</v>
      </c>
    </row>
    <row r="38" spans="1:10" s="15" customFormat="1" ht="15">
      <c r="A38" s="256">
        <v>31</v>
      </c>
      <c r="B38" s="257" t="s">
        <v>468</v>
      </c>
      <c r="C38" s="257" t="s">
        <v>359</v>
      </c>
      <c r="D38" s="398">
        <v>0.03685416666666667</v>
      </c>
      <c r="E38" s="312">
        <v>3</v>
      </c>
      <c r="F38" s="312">
        <v>28</v>
      </c>
      <c r="G38" s="379">
        <v>0.03425925925925926</v>
      </c>
      <c r="H38" s="352">
        <f t="shared" si="0"/>
        <v>1.0757432432432432</v>
      </c>
      <c r="I38" s="15">
        <v>59</v>
      </c>
      <c r="J38" s="393">
        <v>0.035</v>
      </c>
    </row>
    <row r="39" spans="1:10" s="15" customFormat="1" ht="15">
      <c r="A39" s="307">
        <v>32</v>
      </c>
      <c r="B39" s="308" t="s">
        <v>305</v>
      </c>
      <c r="C39" s="308" t="s">
        <v>306</v>
      </c>
      <c r="D39" s="397">
        <v>0.036890046296296296</v>
      </c>
      <c r="E39" s="310">
        <v>11</v>
      </c>
      <c r="F39" s="310">
        <v>20</v>
      </c>
      <c r="G39" s="379">
        <v>0.034768518518518525</v>
      </c>
      <c r="H39" s="352">
        <f t="shared" si="0"/>
        <v>1.0610186418109187</v>
      </c>
      <c r="I39" s="15">
        <v>66</v>
      </c>
      <c r="J39" s="393">
        <v>0.03520833333333334</v>
      </c>
    </row>
    <row r="40" spans="1:10" s="15" customFormat="1" ht="15">
      <c r="A40" s="307">
        <v>33</v>
      </c>
      <c r="B40" s="308" t="s">
        <v>218</v>
      </c>
      <c r="C40" s="308" t="s">
        <v>393</v>
      </c>
      <c r="D40" s="397">
        <v>0.038134259259259264</v>
      </c>
      <c r="E40" s="310">
        <v>12</v>
      </c>
      <c r="F40" s="310">
        <v>19</v>
      </c>
      <c r="G40" s="379">
        <v>0.03424768518518519</v>
      </c>
      <c r="H40" s="352">
        <f t="shared" si="0"/>
        <v>1.1134842852314972</v>
      </c>
      <c r="I40" s="15">
        <v>53</v>
      </c>
      <c r="J40" s="393">
        <v>0.03525462962962963</v>
      </c>
    </row>
    <row r="41" spans="1:10" s="15" customFormat="1" ht="15">
      <c r="A41" s="256">
        <v>34</v>
      </c>
      <c r="B41" s="257" t="s">
        <v>63</v>
      </c>
      <c r="C41" s="257" t="s">
        <v>178</v>
      </c>
      <c r="D41" s="398">
        <v>0.03873726851851852</v>
      </c>
      <c r="E41" s="312">
        <v>4</v>
      </c>
      <c r="F41" s="312">
        <v>27</v>
      </c>
      <c r="G41" s="379">
        <v>0.03673611111111111</v>
      </c>
      <c r="H41" s="352">
        <f t="shared" si="0"/>
        <v>1.054473850031506</v>
      </c>
      <c r="I41" s="15">
        <v>72</v>
      </c>
      <c r="J41" s="393">
        <v>0.03690972222222222</v>
      </c>
    </row>
    <row r="42" spans="1:10" s="15" customFormat="1" ht="15">
      <c r="A42" s="256">
        <v>35</v>
      </c>
      <c r="B42" s="257" t="s">
        <v>317</v>
      </c>
      <c r="C42" s="257" t="s">
        <v>116</v>
      </c>
      <c r="D42" s="398">
        <v>0.039296296296296294</v>
      </c>
      <c r="E42" s="312">
        <v>5</v>
      </c>
      <c r="F42" s="312">
        <v>26</v>
      </c>
      <c r="G42" s="379">
        <v>0.036006944444444446</v>
      </c>
      <c r="H42" s="352">
        <f t="shared" si="0"/>
        <v>1.0913532626165219</v>
      </c>
      <c r="I42" s="15">
        <v>57</v>
      </c>
      <c r="J42" s="393">
        <v>0.03684027777777778</v>
      </c>
    </row>
    <row r="43" spans="1:10" s="15" customFormat="1" ht="15">
      <c r="A43" s="230">
        <v>36</v>
      </c>
      <c r="B43" t="s">
        <v>430</v>
      </c>
      <c r="C43" t="s">
        <v>135</v>
      </c>
      <c r="D43" s="379">
        <v>0.03962847222222222</v>
      </c>
      <c r="E43"/>
      <c r="F43"/>
      <c r="G43" s="379"/>
      <c r="H43" s="352"/>
      <c r="I43"/>
      <c r="J43"/>
    </row>
    <row r="44" spans="1:10" s="15" customFormat="1" ht="15">
      <c r="A44" s="256">
        <v>37</v>
      </c>
      <c r="B44" s="257" t="s">
        <v>321</v>
      </c>
      <c r="C44" s="257" t="s">
        <v>190</v>
      </c>
      <c r="D44" s="398">
        <v>0.03972106481481481</v>
      </c>
      <c r="E44" s="312">
        <v>6</v>
      </c>
      <c r="F44" s="312">
        <v>25</v>
      </c>
      <c r="G44" s="379">
        <v>0.03826388888888889</v>
      </c>
      <c r="H44" s="352">
        <f>+D44/G44</f>
        <v>1.0380822746521476</v>
      </c>
      <c r="I44" s="15">
        <v>83</v>
      </c>
      <c r="J44" s="393">
        <v>0.03795138888888889</v>
      </c>
    </row>
    <row r="45" spans="1:10" s="15" customFormat="1" ht="15">
      <c r="A45" s="230">
        <v>38</v>
      </c>
      <c r="B45" t="s">
        <v>366</v>
      </c>
      <c r="C45" t="s">
        <v>110</v>
      </c>
      <c r="D45" s="379">
        <v>0.03987152777777778</v>
      </c>
      <c r="E45"/>
      <c r="F45"/>
      <c r="G45" s="379"/>
      <c r="H45" s="352"/>
      <c r="I45"/>
      <c r="J45"/>
    </row>
    <row r="46" spans="1:10" s="15" customFormat="1" ht="15">
      <c r="A46" s="230">
        <v>39</v>
      </c>
      <c r="B46" t="s">
        <v>536</v>
      </c>
      <c r="C46" t="s">
        <v>135</v>
      </c>
      <c r="D46" s="379">
        <v>0.04052314814814815</v>
      </c>
      <c r="E46"/>
      <c r="F46"/>
      <c r="G46" s="379"/>
      <c r="H46" s="352"/>
      <c r="I46"/>
      <c r="J46"/>
    </row>
    <row r="47" spans="1:10" s="15" customFormat="1" ht="15">
      <c r="A47" s="317">
        <v>40</v>
      </c>
      <c r="B47" s="318" t="s">
        <v>228</v>
      </c>
      <c r="C47" s="318" t="s">
        <v>244</v>
      </c>
      <c r="D47" s="319">
        <v>0.040998842592592594</v>
      </c>
      <c r="E47" s="320">
        <v>1</v>
      </c>
      <c r="F47" s="320">
        <v>30</v>
      </c>
      <c r="G47" s="379">
        <v>0.04090277777777778</v>
      </c>
      <c r="H47" s="352">
        <f aca="true" t="shared" si="1" ref="H47:H53">+D47/G47</f>
        <v>1.0023486134691566</v>
      </c>
      <c r="I47" s="15">
        <v>93</v>
      </c>
      <c r="J47" s="393">
        <v>0.04016203703703704</v>
      </c>
    </row>
    <row r="48" spans="1:10" s="15" customFormat="1" ht="15">
      <c r="A48" s="256">
        <v>41</v>
      </c>
      <c r="B48" s="257" t="s">
        <v>521</v>
      </c>
      <c r="C48" s="257" t="s">
        <v>145</v>
      </c>
      <c r="D48" s="398">
        <v>0.04212152777777778</v>
      </c>
      <c r="E48" s="312">
        <v>7</v>
      </c>
      <c r="F48" s="312">
        <v>24</v>
      </c>
      <c r="G48" s="379">
        <v>0.03715277777777778</v>
      </c>
      <c r="H48" s="352">
        <f t="shared" si="1"/>
        <v>1.1337383177570093</v>
      </c>
      <c r="I48" s="15">
        <v>52</v>
      </c>
      <c r="J48" s="393">
        <v>0.03819444444444445</v>
      </c>
    </row>
    <row r="49" spans="1:10" s="15" customFormat="1" ht="15">
      <c r="A49" s="313">
        <v>42</v>
      </c>
      <c r="B49" s="314" t="s">
        <v>194</v>
      </c>
      <c r="C49" s="314" t="s">
        <v>145</v>
      </c>
      <c r="D49" s="399">
        <v>0.042451388888888886</v>
      </c>
      <c r="E49" s="316">
        <v>1</v>
      </c>
      <c r="F49" s="316">
        <v>30</v>
      </c>
      <c r="G49" s="379">
        <v>0.04079861111111111</v>
      </c>
      <c r="H49" s="352">
        <f t="shared" si="1"/>
        <v>1.0405106382978722</v>
      </c>
      <c r="I49" s="15">
        <v>80</v>
      </c>
      <c r="J49" s="393">
        <v>0.040625</v>
      </c>
    </row>
    <row r="50" spans="1:10" s="15" customFormat="1" ht="15">
      <c r="A50" s="317">
        <v>43</v>
      </c>
      <c r="B50" s="318" t="s">
        <v>189</v>
      </c>
      <c r="C50" s="318" t="s">
        <v>135</v>
      </c>
      <c r="D50" s="319">
        <v>0.04258564814814814</v>
      </c>
      <c r="E50" s="320">
        <v>2</v>
      </c>
      <c r="F50" s="320">
        <v>29</v>
      </c>
      <c r="G50" s="379">
        <v>0.0419212962962963</v>
      </c>
      <c r="H50" s="352">
        <f t="shared" si="1"/>
        <v>1.015847598012148</v>
      </c>
      <c r="I50" s="15">
        <v>91</v>
      </c>
      <c r="J50" s="393">
        <v>0.041261574074074076</v>
      </c>
    </row>
    <row r="51" spans="1:10" s="15" customFormat="1" ht="15">
      <c r="A51" s="317">
        <v>44</v>
      </c>
      <c r="B51" s="318" t="s">
        <v>218</v>
      </c>
      <c r="C51" s="318" t="s">
        <v>292</v>
      </c>
      <c r="D51" s="319">
        <v>0.042597222222222224</v>
      </c>
      <c r="E51" s="320">
        <v>3</v>
      </c>
      <c r="F51" s="320">
        <v>28</v>
      </c>
      <c r="G51" s="379">
        <v>0.04137731481481482</v>
      </c>
      <c r="H51" s="352">
        <f t="shared" si="1"/>
        <v>1.0294825174825175</v>
      </c>
      <c r="I51" s="15">
        <v>88</v>
      </c>
      <c r="J51" s="393">
        <v>0.04085648148148149</v>
      </c>
    </row>
    <row r="52" spans="1:10" s="15" customFormat="1" ht="15">
      <c r="A52" s="317">
        <v>45</v>
      </c>
      <c r="B52" s="318" t="s">
        <v>265</v>
      </c>
      <c r="C52" s="318" t="s">
        <v>264</v>
      </c>
      <c r="D52" s="319">
        <v>0.042743055555555555</v>
      </c>
      <c r="E52" s="320">
        <v>4</v>
      </c>
      <c r="F52" s="320">
        <v>27</v>
      </c>
      <c r="G52" s="379">
        <v>0.043680555555555556</v>
      </c>
      <c r="H52" s="352">
        <f t="shared" si="1"/>
        <v>0.9785373608903021</v>
      </c>
      <c r="I52" s="15">
        <v>98</v>
      </c>
      <c r="J52" s="393">
        <v>0.04271990740740741</v>
      </c>
    </row>
    <row r="53" spans="1:10" s="15" customFormat="1" ht="15">
      <c r="A53" s="317">
        <v>46</v>
      </c>
      <c r="B53" s="318" t="s">
        <v>383</v>
      </c>
      <c r="C53" s="318" t="s">
        <v>382</v>
      </c>
      <c r="D53" s="319">
        <v>0.04295833333333333</v>
      </c>
      <c r="E53" s="320">
        <v>5</v>
      </c>
      <c r="F53" s="320">
        <v>26</v>
      </c>
      <c r="G53" s="379">
        <v>0.04137731481481482</v>
      </c>
      <c r="H53" s="352">
        <f t="shared" si="1"/>
        <v>1.03820979020979</v>
      </c>
      <c r="I53" s="15">
        <v>82</v>
      </c>
      <c r="J53" s="393">
        <v>0.04111111111111111</v>
      </c>
    </row>
    <row r="54" spans="1:10" s="15" customFormat="1" ht="15">
      <c r="A54" s="230">
        <v>47</v>
      </c>
      <c r="B54" t="s">
        <v>574</v>
      </c>
      <c r="C54" t="s">
        <v>575</v>
      </c>
      <c r="D54" s="379">
        <v>0.04312615740740741</v>
      </c>
      <c r="E54"/>
      <c r="F54"/>
      <c r="G54" s="379"/>
      <c r="H54" s="352"/>
      <c r="I54"/>
      <c r="J54"/>
    </row>
    <row r="55" spans="1:10" s="15" customFormat="1" ht="15">
      <c r="A55" s="317">
        <v>48</v>
      </c>
      <c r="B55" s="318" t="s">
        <v>224</v>
      </c>
      <c r="C55" s="318" t="s">
        <v>263</v>
      </c>
      <c r="D55" s="319">
        <v>0.04430902777777778</v>
      </c>
      <c r="E55" s="320">
        <v>6</v>
      </c>
      <c r="F55" s="320">
        <v>25</v>
      </c>
      <c r="G55" s="379">
        <v>0.042013888888888885</v>
      </c>
      <c r="H55" s="352">
        <f aca="true" t="shared" si="2" ref="H55:H60">+D55/G55</f>
        <v>1.054628099173554</v>
      </c>
      <c r="I55" s="15">
        <v>71</v>
      </c>
      <c r="J55" s="393">
        <v>0.04223379629629629</v>
      </c>
    </row>
    <row r="56" spans="1:10" s="15" customFormat="1" ht="15">
      <c r="A56" s="317">
        <v>49</v>
      </c>
      <c r="B56" s="318" t="s">
        <v>234</v>
      </c>
      <c r="C56" s="318" t="s">
        <v>230</v>
      </c>
      <c r="D56" s="319">
        <v>0.04507523148148148</v>
      </c>
      <c r="E56" s="320">
        <v>7</v>
      </c>
      <c r="F56" s="320">
        <v>24</v>
      </c>
      <c r="G56" s="379">
        <v>0.04293981481481481</v>
      </c>
      <c r="H56" s="352">
        <f t="shared" si="2"/>
        <v>1.0497304582210243</v>
      </c>
      <c r="I56" s="15">
        <v>75</v>
      </c>
      <c r="J56" s="393">
        <v>0.04298611111111111</v>
      </c>
    </row>
    <row r="57" spans="1:10" s="15" customFormat="1" ht="15">
      <c r="A57" s="317">
        <v>50</v>
      </c>
      <c r="B57" s="318" t="s">
        <v>392</v>
      </c>
      <c r="C57" s="318" t="s">
        <v>211</v>
      </c>
      <c r="D57" s="319">
        <v>0.045349537037037035</v>
      </c>
      <c r="E57" s="320">
        <v>8</v>
      </c>
      <c r="F57" s="320">
        <v>23</v>
      </c>
      <c r="G57" s="379">
        <v>0.04451388888888889</v>
      </c>
      <c r="H57" s="352">
        <f t="shared" si="2"/>
        <v>1.0187727509100364</v>
      </c>
      <c r="I57" s="15">
        <v>90</v>
      </c>
      <c r="J57" s="393">
        <v>0.04390046296296296</v>
      </c>
    </row>
    <row r="58" spans="1:10" s="15" customFormat="1" ht="15">
      <c r="A58" s="317">
        <v>51</v>
      </c>
      <c r="B58" s="318" t="s">
        <v>390</v>
      </c>
      <c r="C58" s="318" t="s">
        <v>207</v>
      </c>
      <c r="D58" s="319">
        <v>0.0458125</v>
      </c>
      <c r="E58" s="320">
        <v>9</v>
      </c>
      <c r="F58" s="320">
        <v>22</v>
      </c>
      <c r="G58" s="379">
        <v>0.04420138888888889</v>
      </c>
      <c r="H58" s="352">
        <f t="shared" si="2"/>
        <v>1.0364493322859387</v>
      </c>
      <c r="I58" s="15">
        <v>84</v>
      </c>
      <c r="J58" s="393">
        <v>0.043854166666666666</v>
      </c>
    </row>
    <row r="59" spans="1:10" s="15" customFormat="1" ht="15">
      <c r="A59" s="317">
        <v>52</v>
      </c>
      <c r="B59" s="318" t="s">
        <v>507</v>
      </c>
      <c r="C59" s="318" t="s">
        <v>178</v>
      </c>
      <c r="D59" s="319">
        <v>0.04648032407407407</v>
      </c>
      <c r="E59" s="320">
        <v>10</v>
      </c>
      <c r="F59" s="320">
        <v>21</v>
      </c>
      <c r="G59" s="379">
        <v>0.04653935185185185</v>
      </c>
      <c r="H59" s="352">
        <f t="shared" si="2"/>
        <v>0.9987316587913453</v>
      </c>
      <c r="I59" s="15">
        <v>95</v>
      </c>
      <c r="J59" s="393">
        <v>0.04570601851851852</v>
      </c>
    </row>
    <row r="60" spans="1:10" s="15" customFormat="1" ht="15">
      <c r="A60" s="317">
        <v>53</v>
      </c>
      <c r="B60" s="318" t="s">
        <v>245</v>
      </c>
      <c r="C60" s="318" t="s">
        <v>244</v>
      </c>
      <c r="D60" s="319">
        <v>0.046537037037037036</v>
      </c>
      <c r="E60" s="320">
        <v>11</v>
      </c>
      <c r="F60" s="320">
        <v>20</v>
      </c>
      <c r="G60" s="379">
        <v>0.047974537037037045</v>
      </c>
      <c r="H60" s="352">
        <f t="shared" si="2"/>
        <v>0.9700361881785282</v>
      </c>
      <c r="I60" s="15">
        <v>100</v>
      </c>
      <c r="J60" s="393">
        <v>0.046932870370370375</v>
      </c>
    </row>
    <row r="61" spans="1:10" s="15" customFormat="1" ht="15">
      <c r="A61" s="230">
        <v>54</v>
      </c>
      <c r="B61" t="s">
        <v>574</v>
      </c>
      <c r="C61" t="s">
        <v>425</v>
      </c>
      <c r="D61" s="379">
        <v>0.049160879629629624</v>
      </c>
      <c r="E61"/>
      <c r="F61"/>
      <c r="G61" s="379"/>
      <c r="H61" s="352"/>
      <c r="I61"/>
      <c r="J61"/>
    </row>
    <row r="62" spans="1:10" s="15" customFormat="1" ht="15">
      <c r="A62" s="230">
        <v>55</v>
      </c>
      <c r="B62" t="s">
        <v>73</v>
      </c>
      <c r="C62" t="s">
        <v>608</v>
      </c>
      <c r="D62" s="379">
        <v>0.05179050925925926</v>
      </c>
      <c r="E62"/>
      <c r="F62"/>
      <c r="G62" s="379"/>
      <c r="H62" s="352"/>
      <c r="I62"/>
      <c r="J6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:IV7"/>
    </sheetView>
  </sheetViews>
  <sheetFormatPr defaultColWidth="9.140625" defaultRowHeight="15"/>
  <cols>
    <col min="1" max="1" width="9.140625" style="230" customWidth="1"/>
    <col min="2" max="2" width="10.7109375" style="0" bestFit="1" customWidth="1"/>
    <col min="3" max="3" width="12.00390625" style="0" bestFit="1" customWidth="1"/>
    <col min="4" max="4" width="9.140625" style="379" customWidth="1"/>
    <col min="7" max="7" width="9.57421875" style="0" customWidth="1"/>
    <col min="8" max="8" width="12.7109375" style="0" customWidth="1"/>
    <col min="9" max="10" width="9.57421875" style="0" bestFit="1" customWidth="1"/>
  </cols>
  <sheetData>
    <row r="1" spans="1:7" ht="18">
      <c r="A1" s="246" t="s">
        <v>598</v>
      </c>
      <c r="G1" s="344"/>
    </row>
    <row r="2" spans="1:7" ht="18">
      <c r="A2" s="246"/>
      <c r="G2" s="344"/>
    </row>
    <row r="3" spans="7:10" ht="15">
      <c r="G3" s="347" t="s">
        <v>594</v>
      </c>
      <c r="H3" s="346"/>
      <c r="I3" s="346"/>
      <c r="J3" s="347" t="s">
        <v>599</v>
      </c>
    </row>
    <row r="4" spans="1:10" s="251" customFormat="1" ht="18" customHeight="1">
      <c r="A4" s="247"/>
      <c r="B4" s="248"/>
      <c r="C4" s="247"/>
      <c r="D4" s="348"/>
      <c r="G4" s="347" t="s">
        <v>384</v>
      </c>
      <c r="H4" s="346"/>
      <c r="I4" s="346"/>
      <c r="J4" s="347" t="s">
        <v>481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s="15" customFormat="1" ht="15">
      <c r="A8" s="295">
        <v>1</v>
      </c>
      <c r="B8" s="296" t="s">
        <v>309</v>
      </c>
      <c r="C8" s="296" t="s">
        <v>308</v>
      </c>
      <c r="D8" s="394">
        <v>0.022581018518518518</v>
      </c>
      <c r="E8" s="298">
        <v>1</v>
      </c>
      <c r="F8" s="298">
        <v>30</v>
      </c>
      <c r="G8" s="379">
        <v>0.02337962962962963</v>
      </c>
      <c r="H8" s="352">
        <f>+D8/G8</f>
        <v>0.9658415841584158</v>
      </c>
      <c r="I8" s="15">
        <v>90</v>
      </c>
      <c r="J8" s="393">
        <f>+G8-TIME(0,0,15)</f>
        <v>0.023206018518518518</v>
      </c>
    </row>
    <row r="9" spans="1:10" s="15" customFormat="1" ht="15">
      <c r="A9" s="295">
        <v>2</v>
      </c>
      <c r="B9" s="296" t="s">
        <v>600</v>
      </c>
      <c r="C9" s="296" t="s">
        <v>34</v>
      </c>
      <c r="D9" s="394">
        <v>0.022777777777777775</v>
      </c>
      <c r="E9" s="298">
        <v>2</v>
      </c>
      <c r="F9" s="298">
        <v>29</v>
      </c>
      <c r="G9" s="379">
        <v>0.025381944444444443</v>
      </c>
      <c r="H9" s="352">
        <f>+D9/G9</f>
        <v>0.8974008207934336</v>
      </c>
      <c r="I9" s="15">
        <f>-1+I10</f>
        <v>99</v>
      </c>
      <c r="J9" s="393">
        <f>+G9-TIME(0,1,22)</f>
        <v>0.02443287037037037</v>
      </c>
    </row>
    <row r="10" spans="1:10" s="15" customFormat="1" ht="15">
      <c r="A10" s="295">
        <v>3</v>
      </c>
      <c r="B10" s="296" t="s">
        <v>43</v>
      </c>
      <c r="C10" s="296" t="s">
        <v>44</v>
      </c>
      <c r="D10" s="394">
        <v>0.02335648148148148</v>
      </c>
      <c r="E10" s="298">
        <v>3</v>
      </c>
      <c r="F10" s="298">
        <v>28</v>
      </c>
      <c r="G10" s="379">
        <v>0.02621527777777778</v>
      </c>
      <c r="H10" s="352">
        <f>+D10/G10</f>
        <v>0.8909492273730684</v>
      </c>
      <c r="I10" s="15">
        <v>100</v>
      </c>
      <c r="J10" s="393">
        <f>+G10-TIME(0,1,30)</f>
        <v>0.025173611111111112</v>
      </c>
    </row>
    <row r="11" spans="1:10" s="15" customFormat="1" ht="15">
      <c r="A11" s="295">
        <v>4</v>
      </c>
      <c r="B11" s="296" t="s">
        <v>218</v>
      </c>
      <c r="C11" s="296" t="s">
        <v>30</v>
      </c>
      <c r="D11" s="394">
        <v>0.023750000000000004</v>
      </c>
      <c r="E11" s="298">
        <v>4</v>
      </c>
      <c r="F11" s="298">
        <v>27</v>
      </c>
      <c r="G11" s="379">
        <v>0.02314814814814815</v>
      </c>
      <c r="H11" s="352">
        <f>+D11/G11</f>
        <v>1.026</v>
      </c>
      <c r="I11" s="15">
        <v>81</v>
      </c>
      <c r="J11" s="393">
        <f>+G11+TIME(0,0,45)</f>
        <v>0.023668981481481485</v>
      </c>
    </row>
    <row r="12" spans="1:10" s="15" customFormat="1" ht="15">
      <c r="A12" s="299">
        <v>5</v>
      </c>
      <c r="B12" s="300" t="s">
        <v>243</v>
      </c>
      <c r="C12" s="300" t="s">
        <v>275</v>
      </c>
      <c r="D12" s="396">
        <v>0.026759259259259257</v>
      </c>
      <c r="E12" s="302">
        <v>1</v>
      </c>
      <c r="F12" s="302">
        <v>30</v>
      </c>
      <c r="G12" s="379">
        <v>0.027939814814814817</v>
      </c>
      <c r="H12" s="352">
        <f>+D12/G12</f>
        <v>0.9577464788732393</v>
      </c>
      <c r="I12" s="15">
        <v>93</v>
      </c>
      <c r="J12" s="393">
        <f>+G12-TIME(0,0,37)</f>
        <v>0.027511574074074077</v>
      </c>
    </row>
    <row r="13" spans="1:10" s="15" customFormat="1" ht="15">
      <c r="A13" s="230">
        <v>6</v>
      </c>
      <c r="B13" t="s">
        <v>203</v>
      </c>
      <c r="C13" t="s">
        <v>405</v>
      </c>
      <c r="D13" s="379">
        <v>0.027175925925925926</v>
      </c>
      <c r="E13"/>
      <c r="F13"/>
      <c r="G13" s="379"/>
      <c r="H13" s="352"/>
      <c r="I13"/>
      <c r="J13"/>
    </row>
    <row r="14" spans="1:10" s="15" customFormat="1" ht="15">
      <c r="A14" s="303">
        <v>7</v>
      </c>
      <c r="B14" s="304" t="s">
        <v>63</v>
      </c>
      <c r="C14" s="304" t="s">
        <v>64</v>
      </c>
      <c r="D14" s="395">
        <v>0.0271875</v>
      </c>
      <c r="E14" s="306">
        <v>1</v>
      </c>
      <c r="F14" s="306">
        <v>30</v>
      </c>
      <c r="G14" s="379">
        <v>0.028344907407407412</v>
      </c>
      <c r="H14" s="352">
        <f aca="true" t="shared" si="0" ref="H14:H31">+D14/G14</f>
        <v>0.9591670069416086</v>
      </c>
      <c r="I14" s="15">
        <v>92</v>
      </c>
      <c r="J14" s="393">
        <f>+G14-TIME(0,0,30)</f>
        <v>0.02799768518518519</v>
      </c>
    </row>
    <row r="15" spans="1:10" s="15" customFormat="1" ht="15">
      <c r="A15" s="307">
        <v>8</v>
      </c>
      <c r="B15" s="308" t="s">
        <v>259</v>
      </c>
      <c r="C15" s="308" t="s">
        <v>256</v>
      </c>
      <c r="D15" s="397">
        <v>0.027800925925925923</v>
      </c>
      <c r="E15" s="310">
        <v>1</v>
      </c>
      <c r="F15" s="310">
        <v>30</v>
      </c>
      <c r="G15" s="379">
        <v>0.029155092592592594</v>
      </c>
      <c r="H15" s="352">
        <f t="shared" si="0"/>
        <v>0.9535529972211194</v>
      </c>
      <c r="I15" s="15">
        <v>96</v>
      </c>
      <c r="J15" s="393">
        <f>+G15-TIME(0,1,0)</f>
        <v>0.028460648148148148</v>
      </c>
    </row>
    <row r="16" spans="1:10" s="15" customFormat="1" ht="15">
      <c r="A16" s="303">
        <v>9</v>
      </c>
      <c r="B16" s="304" t="s">
        <v>406</v>
      </c>
      <c r="C16" s="304" t="s">
        <v>582</v>
      </c>
      <c r="D16" s="395">
        <v>0.02787037037037037</v>
      </c>
      <c r="E16" s="306">
        <v>2</v>
      </c>
      <c r="F16" s="306">
        <v>29</v>
      </c>
      <c r="G16" s="379">
        <v>0.028993055555555553</v>
      </c>
      <c r="H16" s="352">
        <f t="shared" si="0"/>
        <v>0.9612774451097804</v>
      </c>
      <c r="I16" s="15">
        <v>91</v>
      </c>
      <c r="J16" s="393">
        <f>+G16-TIME(0,0,22)</f>
        <v>0.028738425925925924</v>
      </c>
    </row>
    <row r="17" spans="1:10" s="15" customFormat="1" ht="15">
      <c r="A17" s="299">
        <v>10</v>
      </c>
      <c r="B17" s="300" t="s">
        <v>321</v>
      </c>
      <c r="C17" s="300" t="s">
        <v>132</v>
      </c>
      <c r="D17" s="396">
        <v>0.028229166666666666</v>
      </c>
      <c r="E17" s="302">
        <v>2</v>
      </c>
      <c r="F17" s="302">
        <v>29</v>
      </c>
      <c r="G17" s="379">
        <v>0.03002314814814815</v>
      </c>
      <c r="H17" s="352">
        <f t="shared" si="0"/>
        <v>0.9402467232074017</v>
      </c>
      <c r="I17" s="15">
        <v>98</v>
      </c>
      <c r="J17" s="393">
        <f>+G17-TIME(0,1,15)</f>
        <v>0.029155092592592594</v>
      </c>
    </row>
    <row r="18" spans="1:10" s="15" customFormat="1" ht="15">
      <c r="A18" s="303">
        <v>11</v>
      </c>
      <c r="B18" s="304" t="s">
        <v>219</v>
      </c>
      <c r="C18" s="304" t="s">
        <v>388</v>
      </c>
      <c r="D18" s="395">
        <v>0.028506944444444442</v>
      </c>
      <c r="E18" s="306">
        <v>3</v>
      </c>
      <c r="F18" s="306">
        <v>28</v>
      </c>
      <c r="G18" s="379">
        <v>0.029027777777777777</v>
      </c>
      <c r="H18" s="352">
        <f t="shared" si="0"/>
        <v>0.9820574162679425</v>
      </c>
      <c r="I18" s="15">
        <v>88</v>
      </c>
      <c r="J18" s="393">
        <f>+G18</f>
        <v>0.029027777777777777</v>
      </c>
    </row>
    <row r="19" spans="1:10" s="15" customFormat="1" ht="15">
      <c r="A19" s="299">
        <v>12</v>
      </c>
      <c r="B19" s="300" t="s">
        <v>187</v>
      </c>
      <c r="C19" s="300" t="s">
        <v>88</v>
      </c>
      <c r="D19" s="396">
        <v>0.0290162037037037</v>
      </c>
      <c r="E19" s="302">
        <v>3</v>
      </c>
      <c r="F19" s="302">
        <v>28</v>
      </c>
      <c r="G19" s="379">
        <v>0.029618055555555554</v>
      </c>
      <c r="H19" s="352">
        <f t="shared" si="0"/>
        <v>0.9796795623290347</v>
      </c>
      <c r="I19" s="15">
        <v>89</v>
      </c>
      <c r="J19" s="393">
        <f>+G19-TIME(0,0,7)</f>
        <v>0.029537037037037035</v>
      </c>
    </row>
    <row r="20" spans="1:10" s="15" customFormat="1" ht="15">
      <c r="A20" s="299">
        <v>13</v>
      </c>
      <c r="B20" s="300" t="s">
        <v>63</v>
      </c>
      <c r="C20" s="300" t="s">
        <v>110</v>
      </c>
      <c r="D20" s="396">
        <v>0.029050925925925928</v>
      </c>
      <c r="E20" s="302">
        <v>4</v>
      </c>
      <c r="F20" s="302">
        <v>27</v>
      </c>
      <c r="G20" s="379">
        <v>0.02953703703703704</v>
      </c>
      <c r="H20" s="352">
        <f t="shared" si="0"/>
        <v>0.9835423197492164</v>
      </c>
      <c r="I20" s="15">
        <v>87</v>
      </c>
      <c r="J20" s="393">
        <f>+G20</f>
        <v>0.02953703703703704</v>
      </c>
    </row>
    <row r="21" spans="1:10" s="15" customFormat="1" ht="15">
      <c r="A21" s="303">
        <v>14</v>
      </c>
      <c r="B21" s="304" t="s">
        <v>339</v>
      </c>
      <c r="C21" s="304" t="s">
        <v>338</v>
      </c>
      <c r="D21" s="395">
        <v>0.03053240740740741</v>
      </c>
      <c r="E21" s="306">
        <v>4</v>
      </c>
      <c r="F21" s="306">
        <v>27</v>
      </c>
      <c r="G21" s="379">
        <v>0.029861111111111113</v>
      </c>
      <c r="H21" s="352">
        <f t="shared" si="0"/>
        <v>1.022480620155039</v>
      </c>
      <c r="I21" s="15">
        <v>82</v>
      </c>
      <c r="J21" s="393">
        <f>+G21+TIME(0,0,37)</f>
        <v>0.030289351851851852</v>
      </c>
    </row>
    <row r="22" spans="1:10" s="15" customFormat="1" ht="15">
      <c r="A22" s="307">
        <v>15</v>
      </c>
      <c r="B22" s="308" t="s">
        <v>276</v>
      </c>
      <c r="C22" s="308" t="s">
        <v>38</v>
      </c>
      <c r="D22" s="397">
        <v>0.03173611111111111</v>
      </c>
      <c r="E22" s="310">
        <v>2</v>
      </c>
      <c r="F22" s="310">
        <v>29</v>
      </c>
      <c r="G22" s="379">
        <v>0.03186342592592593</v>
      </c>
      <c r="H22" s="352">
        <f t="shared" si="0"/>
        <v>0.9960043588812204</v>
      </c>
      <c r="I22" s="15">
        <v>84</v>
      </c>
      <c r="J22" s="393">
        <f>+G22+TIME(0,0,22)</f>
        <v>0.03211805555555556</v>
      </c>
    </row>
    <row r="23" spans="1:10" s="15" customFormat="1" ht="15">
      <c r="A23" s="307">
        <v>16</v>
      </c>
      <c r="B23" s="308" t="s">
        <v>189</v>
      </c>
      <c r="C23" s="308" t="s">
        <v>162</v>
      </c>
      <c r="D23" s="397">
        <v>0.03256944444444444</v>
      </c>
      <c r="E23" s="310">
        <v>3</v>
      </c>
      <c r="F23" s="310">
        <v>28</v>
      </c>
      <c r="G23" s="379">
        <v>0.031041666666666665</v>
      </c>
      <c r="H23" s="352">
        <f t="shared" si="0"/>
        <v>1.0492170022371365</v>
      </c>
      <c r="I23" s="15">
        <v>77</v>
      </c>
      <c r="J23" s="393">
        <f>+G23+TIME(0,1,15)</f>
        <v>0.03190972222222222</v>
      </c>
    </row>
    <row r="24" spans="1:10" s="15" customFormat="1" ht="15">
      <c r="A24" s="307">
        <v>17</v>
      </c>
      <c r="B24" s="308" t="s">
        <v>103</v>
      </c>
      <c r="C24" s="308" t="s">
        <v>104</v>
      </c>
      <c r="D24" s="397">
        <v>0.033032407407407406</v>
      </c>
      <c r="E24" s="310">
        <v>4</v>
      </c>
      <c r="F24" s="310">
        <v>27</v>
      </c>
      <c r="G24" s="379">
        <v>0.03328703703703704</v>
      </c>
      <c r="H24" s="352">
        <f t="shared" si="0"/>
        <v>0.9923504867872044</v>
      </c>
      <c r="I24" s="15">
        <v>86</v>
      </c>
      <c r="J24" s="393">
        <f>+G24+TIME(0,0,7)</f>
        <v>0.03336805555555556</v>
      </c>
    </row>
    <row r="25" spans="1:10" s="15" customFormat="1" ht="15">
      <c r="A25" s="256">
        <v>18</v>
      </c>
      <c r="B25" s="257" t="s">
        <v>360</v>
      </c>
      <c r="C25" s="257" t="s">
        <v>359</v>
      </c>
      <c r="D25" s="398">
        <v>0.03329861111111111</v>
      </c>
      <c r="E25" s="312">
        <v>1</v>
      </c>
      <c r="F25" s="312">
        <v>30</v>
      </c>
      <c r="G25" s="379">
        <v>0.03478009259259259</v>
      </c>
      <c r="H25" s="352">
        <f t="shared" si="0"/>
        <v>0.9574043261231282</v>
      </c>
      <c r="I25" s="15">
        <v>94</v>
      </c>
      <c r="J25" s="393">
        <f>+G25-TIME(0,0,45)</f>
        <v>0.03425925925925926</v>
      </c>
    </row>
    <row r="26" spans="1:10" s="15" customFormat="1" ht="15">
      <c r="A26" s="256">
        <v>19</v>
      </c>
      <c r="B26" s="257" t="s">
        <v>518</v>
      </c>
      <c r="C26" s="257" t="s">
        <v>178</v>
      </c>
      <c r="D26" s="398">
        <v>0.03386574074074074</v>
      </c>
      <c r="E26" s="312">
        <v>2</v>
      </c>
      <c r="F26" s="312">
        <v>29</v>
      </c>
      <c r="G26" s="379">
        <v>0.03582175925925926</v>
      </c>
      <c r="H26" s="352">
        <f t="shared" si="0"/>
        <v>0.9453957996768981</v>
      </c>
      <c r="I26" s="15">
        <v>97</v>
      </c>
      <c r="J26" s="393">
        <f>+G26-TIME(0,1,7)</f>
        <v>0.0350462962962963</v>
      </c>
    </row>
    <row r="27" spans="1:10" s="15" customFormat="1" ht="15">
      <c r="A27" s="307">
        <v>20</v>
      </c>
      <c r="B27" s="308" t="s">
        <v>103</v>
      </c>
      <c r="C27" s="308" t="s">
        <v>135</v>
      </c>
      <c r="D27" s="397">
        <v>0.03400462962962963</v>
      </c>
      <c r="E27" s="310">
        <v>5</v>
      </c>
      <c r="F27" s="310">
        <v>26</v>
      </c>
      <c r="G27" s="379">
        <v>0.034027777777777775</v>
      </c>
      <c r="H27" s="352">
        <f t="shared" si="0"/>
        <v>0.9993197278911565</v>
      </c>
      <c r="I27" s="15">
        <v>83</v>
      </c>
      <c r="J27" s="393">
        <f>+G27+TIME(0,0,30)</f>
        <v>0.034374999999999996</v>
      </c>
    </row>
    <row r="28" spans="1:10" s="15" customFormat="1" ht="15">
      <c r="A28" s="256">
        <v>21</v>
      </c>
      <c r="B28" s="257" t="s">
        <v>139</v>
      </c>
      <c r="C28" s="257" t="s">
        <v>140</v>
      </c>
      <c r="D28" s="398">
        <v>0.03512731481481481</v>
      </c>
      <c r="E28" s="312">
        <v>3</v>
      </c>
      <c r="F28" s="312">
        <v>28</v>
      </c>
      <c r="G28" s="379">
        <v>0.034212962962962966</v>
      </c>
      <c r="H28" s="352">
        <f t="shared" si="0"/>
        <v>1.0267253044654938</v>
      </c>
      <c r="I28" s="15">
        <v>80</v>
      </c>
      <c r="J28" s="393">
        <f>+G28+TIME(0,0,52)</f>
        <v>0.03481481481481482</v>
      </c>
    </row>
    <row r="29" spans="1:10" s="15" customFormat="1" ht="15">
      <c r="A29" s="256">
        <v>22</v>
      </c>
      <c r="B29" s="257" t="s">
        <v>33</v>
      </c>
      <c r="C29" s="257" t="s">
        <v>123</v>
      </c>
      <c r="D29" s="398">
        <v>0.03515046296296296</v>
      </c>
      <c r="E29" s="312">
        <v>4</v>
      </c>
      <c r="F29" s="312">
        <v>27</v>
      </c>
      <c r="G29" s="379">
        <v>0.035416666666666666</v>
      </c>
      <c r="H29" s="352">
        <f t="shared" si="0"/>
        <v>0.9924836601307189</v>
      </c>
      <c r="I29" s="15">
        <v>85</v>
      </c>
      <c r="J29" s="393">
        <f>+G29+TIME(0,0,15)</f>
        <v>0.035590277777777776</v>
      </c>
    </row>
    <row r="30" spans="1:10" s="15" customFormat="1" ht="15">
      <c r="A30" s="299">
        <v>23</v>
      </c>
      <c r="B30" s="300" t="s">
        <v>117</v>
      </c>
      <c r="C30" s="300" t="s">
        <v>118</v>
      </c>
      <c r="D30" s="396">
        <v>0.03530092592592592</v>
      </c>
      <c r="E30" s="302">
        <v>5</v>
      </c>
      <c r="F30" s="302">
        <v>26</v>
      </c>
      <c r="G30" s="379">
        <v>0.03378472222222222</v>
      </c>
      <c r="H30" s="352">
        <f t="shared" si="0"/>
        <v>1.0448783830078794</v>
      </c>
      <c r="I30" s="15">
        <v>78</v>
      </c>
      <c r="J30" s="393">
        <f>+G30+TIME(0,1,7)</f>
        <v>0.03456018518518519</v>
      </c>
    </row>
    <row r="31" spans="1:10" ht="15">
      <c r="A31" s="256">
        <v>24</v>
      </c>
      <c r="B31" s="257" t="s">
        <v>517</v>
      </c>
      <c r="C31" s="257" t="s">
        <v>371</v>
      </c>
      <c r="D31" s="398">
        <v>0.03679398148148148</v>
      </c>
      <c r="E31" s="312">
        <v>5</v>
      </c>
      <c r="F31" s="312">
        <v>26</v>
      </c>
      <c r="G31" s="379">
        <v>0.03855324074074074</v>
      </c>
      <c r="H31" s="352">
        <f t="shared" si="0"/>
        <v>0.9543680576403483</v>
      </c>
      <c r="I31" s="15">
        <v>95</v>
      </c>
      <c r="J31" s="393">
        <f>+G31-TIME(0,0,52)</f>
        <v>0.03795138888888889</v>
      </c>
    </row>
    <row r="32" spans="1:10" s="15" customFormat="1" ht="15">
      <c r="A32" s="230">
        <v>25</v>
      </c>
      <c r="B32" t="s">
        <v>219</v>
      </c>
      <c r="C32" t="s">
        <v>482</v>
      </c>
      <c r="D32" s="379">
        <v>0.037245370370370366</v>
      </c>
      <c r="E32"/>
      <c r="F32"/>
      <c r="G32" s="379"/>
      <c r="H32" s="352"/>
      <c r="I32"/>
      <c r="J32"/>
    </row>
    <row r="33" spans="1:10" s="15" customFormat="1" ht="15">
      <c r="A33" s="256">
        <v>26</v>
      </c>
      <c r="B33" s="257" t="s">
        <v>321</v>
      </c>
      <c r="C33" s="257" t="s">
        <v>190</v>
      </c>
      <c r="D33" s="398">
        <v>0.03876157407407408</v>
      </c>
      <c r="E33" s="312">
        <v>6</v>
      </c>
      <c r="F33" s="312">
        <v>25</v>
      </c>
      <c r="G33" s="379">
        <v>0.03756944444444445</v>
      </c>
      <c r="H33" s="352">
        <f>+D33/G33</f>
        <v>1.031731361675909</v>
      </c>
      <c r="I33" s="15">
        <v>79</v>
      </c>
      <c r="J33" s="393">
        <f>+G33+TIME(0,1,0)</f>
        <v>0.03826388888888889</v>
      </c>
    </row>
    <row r="34" spans="1:10" s="15" customFormat="1" ht="15">
      <c r="A34" s="303">
        <v>27</v>
      </c>
      <c r="B34" s="304" t="s">
        <v>258</v>
      </c>
      <c r="C34" s="304" t="s">
        <v>257</v>
      </c>
      <c r="D34" s="395">
        <v>0.041574074074074076</v>
      </c>
      <c r="E34" s="306">
        <v>5</v>
      </c>
      <c r="F34" s="306">
        <v>26</v>
      </c>
      <c r="G34" s="379">
        <v>0.028067129629629626</v>
      </c>
      <c r="H34" s="352">
        <f>+D34/G34</f>
        <v>1.481237113402062</v>
      </c>
      <c r="I34" s="15">
        <v>75</v>
      </c>
      <c r="J34" s="393">
        <f>+G34+TIME(0,1,30)</f>
        <v>0.029108796296296292</v>
      </c>
    </row>
    <row r="35" spans="1:10" ht="15">
      <c r="A35" s="317">
        <v>28</v>
      </c>
      <c r="B35" s="318" t="s">
        <v>189</v>
      </c>
      <c r="C35" s="318" t="s">
        <v>135</v>
      </c>
      <c r="D35" s="319">
        <v>0.04568287037037037</v>
      </c>
      <c r="E35" s="320">
        <v>1</v>
      </c>
      <c r="F35" s="320">
        <v>30</v>
      </c>
      <c r="G35" s="379">
        <v>0.04097222222222222</v>
      </c>
      <c r="H35" s="352">
        <f>+D35/G35</f>
        <v>1.1149717514124293</v>
      </c>
      <c r="I35" s="15">
        <v>76</v>
      </c>
      <c r="J35" s="393">
        <f>+G35+TIME(0,1,22)</f>
        <v>0.0419212962962963</v>
      </c>
    </row>
    <row r="36" ht="15">
      <c r="G36" s="3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PageLayoutView="0" workbookViewId="0" topLeftCell="A40">
      <selection activeCell="A61" sqref="A61:IV61"/>
    </sheetView>
  </sheetViews>
  <sheetFormatPr defaultColWidth="9.140625" defaultRowHeight="15"/>
  <cols>
    <col min="1" max="1" width="9.140625" style="86" customWidth="1"/>
    <col min="2" max="2" width="9.00390625" style="15" bestFit="1" customWidth="1"/>
    <col min="3" max="3" width="19.140625" style="15" bestFit="1" customWidth="1"/>
    <col min="4" max="4" width="9.7109375" style="322" customWidth="1"/>
    <col min="5" max="16384" width="9.140625" style="15" customWidth="1"/>
  </cols>
  <sheetData>
    <row r="1" spans="1:7" ht="18">
      <c r="A1" s="246" t="s">
        <v>592</v>
      </c>
      <c r="D1" s="379"/>
      <c r="G1" s="344"/>
    </row>
    <row r="2" spans="1:7" ht="18">
      <c r="A2" s="246"/>
      <c r="D2" s="379"/>
      <c r="G2" s="344"/>
    </row>
    <row r="3" spans="1:10" ht="15">
      <c r="A3" s="230"/>
      <c r="D3" s="379"/>
      <c r="G3" s="347" t="s">
        <v>454</v>
      </c>
      <c r="H3" s="346"/>
      <c r="I3" s="346"/>
      <c r="J3" s="347" t="s">
        <v>594</v>
      </c>
    </row>
    <row r="4" spans="1:10" s="251" customFormat="1" ht="18" customHeight="1">
      <c r="A4" s="247"/>
      <c r="B4" s="248"/>
      <c r="C4" s="247"/>
      <c r="D4" s="348"/>
      <c r="G4" s="347" t="s">
        <v>593</v>
      </c>
      <c r="H4" s="346"/>
      <c r="I4" s="346"/>
      <c r="J4" s="347" t="s">
        <v>384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ht="15">
      <c r="A8" s="295">
        <v>1</v>
      </c>
      <c r="B8" s="296" t="s">
        <v>309</v>
      </c>
      <c r="C8" s="296" t="s">
        <v>308</v>
      </c>
      <c r="D8" s="406">
        <v>0.019768518518518515</v>
      </c>
      <c r="E8" s="298">
        <v>1</v>
      </c>
      <c r="F8" s="298">
        <v>30</v>
      </c>
      <c r="G8" s="393">
        <v>0.02287037037037037</v>
      </c>
      <c r="H8" s="352">
        <f aca="true" t="shared" si="0" ref="H8:H21">+D8/G8</f>
        <v>0.8643724696356274</v>
      </c>
      <c r="I8" s="15">
        <v>51</v>
      </c>
      <c r="J8" s="393">
        <v>0.02337962962962963</v>
      </c>
    </row>
    <row r="9" spans="1:10" ht="15">
      <c r="A9" s="295">
        <v>2</v>
      </c>
      <c r="B9" s="296" t="s">
        <v>427</v>
      </c>
      <c r="C9" s="296" t="s">
        <v>426</v>
      </c>
      <c r="D9" s="406">
        <v>0.02065972222222222</v>
      </c>
      <c r="E9" s="298">
        <v>2</v>
      </c>
      <c r="F9" s="298">
        <v>29</v>
      </c>
      <c r="G9" s="393">
        <v>0.02388888888888889</v>
      </c>
      <c r="H9" s="352">
        <f t="shared" si="0"/>
        <v>0.8648255813953488</v>
      </c>
      <c r="I9" s="15">
        <v>50</v>
      </c>
      <c r="J9" s="393">
        <v>0.0244212962962963</v>
      </c>
    </row>
    <row r="10" spans="1:10" ht="15">
      <c r="A10" s="295">
        <v>3</v>
      </c>
      <c r="B10" s="296" t="s">
        <v>54</v>
      </c>
      <c r="C10" s="296" t="s">
        <v>377</v>
      </c>
      <c r="D10" s="406">
        <v>0.02152777777777778</v>
      </c>
      <c r="E10" s="298">
        <v>3</v>
      </c>
      <c r="F10" s="298">
        <v>28</v>
      </c>
      <c r="G10" s="393">
        <v>0.02621527777777778</v>
      </c>
      <c r="H10" s="352">
        <f t="shared" si="0"/>
        <v>0.8211920529801325</v>
      </c>
      <c r="I10" s="15">
        <v>89</v>
      </c>
      <c r="J10" s="393">
        <v>0.025520833333333333</v>
      </c>
    </row>
    <row r="11" spans="1:10" ht="15">
      <c r="A11" s="295">
        <v>4</v>
      </c>
      <c r="B11" s="296" t="s">
        <v>399</v>
      </c>
      <c r="C11" s="296" t="s">
        <v>400</v>
      </c>
      <c r="D11" s="406">
        <v>0.02181712962962963</v>
      </c>
      <c r="E11" s="298">
        <v>4</v>
      </c>
      <c r="F11" s="298">
        <v>27</v>
      </c>
      <c r="G11" s="393">
        <v>0.02756944444444445</v>
      </c>
      <c r="H11" s="352">
        <f t="shared" si="0"/>
        <v>0.7913518052057094</v>
      </c>
      <c r="I11" s="15">
        <v>99</v>
      </c>
      <c r="J11" s="393">
        <v>0.026562500000000003</v>
      </c>
    </row>
    <row r="12" spans="1:10" ht="15">
      <c r="A12" s="295">
        <v>5</v>
      </c>
      <c r="B12" s="296" t="s">
        <v>408</v>
      </c>
      <c r="C12" s="296" t="s">
        <v>420</v>
      </c>
      <c r="D12" s="406">
        <v>0.02199074074074074</v>
      </c>
      <c r="E12" s="298">
        <v>5</v>
      </c>
      <c r="F12" s="298">
        <v>26</v>
      </c>
      <c r="G12" s="393">
        <v>0.026458333333333334</v>
      </c>
      <c r="H12" s="352">
        <f t="shared" si="0"/>
        <v>0.8311461067366579</v>
      </c>
      <c r="I12" s="15">
        <v>83</v>
      </c>
      <c r="J12" s="393">
        <v>0.025949074074074076</v>
      </c>
    </row>
    <row r="13" spans="1:10" ht="15">
      <c r="A13" s="295">
        <v>6</v>
      </c>
      <c r="B13" s="296" t="s">
        <v>52</v>
      </c>
      <c r="C13" s="296" t="s">
        <v>274</v>
      </c>
      <c r="D13" s="406">
        <v>0.02201388888888889</v>
      </c>
      <c r="E13" s="298">
        <v>6</v>
      </c>
      <c r="F13" s="298">
        <v>25</v>
      </c>
      <c r="G13" s="393">
        <v>0.024930555555555553</v>
      </c>
      <c r="H13" s="352">
        <f t="shared" si="0"/>
        <v>0.8830083565459611</v>
      </c>
      <c r="I13" s="15">
        <v>43</v>
      </c>
      <c r="J13" s="393">
        <v>0.025694444444444443</v>
      </c>
    </row>
    <row r="14" spans="1:10" ht="15">
      <c r="A14" s="295">
        <v>7</v>
      </c>
      <c r="B14" s="296" t="s">
        <v>50</v>
      </c>
      <c r="C14" s="296" t="s">
        <v>51</v>
      </c>
      <c r="D14" s="406">
        <v>0.02263888888888889</v>
      </c>
      <c r="E14" s="298">
        <v>7</v>
      </c>
      <c r="F14" s="298">
        <v>24</v>
      </c>
      <c r="G14" s="393">
        <v>0.02670138888888889</v>
      </c>
      <c r="H14" s="352">
        <f t="shared" si="0"/>
        <v>0.8478543563068921</v>
      </c>
      <c r="I14" s="15">
        <v>68</v>
      </c>
      <c r="J14" s="393">
        <v>0.026678240740740742</v>
      </c>
    </row>
    <row r="15" spans="1:10" ht="15">
      <c r="A15" s="295">
        <v>8</v>
      </c>
      <c r="B15" s="296" t="s">
        <v>52</v>
      </c>
      <c r="C15" s="296" t="s">
        <v>53</v>
      </c>
      <c r="D15" s="406">
        <v>0.0227662037037037</v>
      </c>
      <c r="E15" s="298">
        <v>8</v>
      </c>
      <c r="F15" s="298">
        <v>23</v>
      </c>
      <c r="G15" s="393">
        <v>0.028055555555555556</v>
      </c>
      <c r="H15" s="352">
        <f t="shared" si="0"/>
        <v>0.8114686468646863</v>
      </c>
      <c r="I15" s="15">
        <v>95</v>
      </c>
      <c r="J15" s="393">
        <v>0.027175925925925926</v>
      </c>
    </row>
    <row r="16" spans="1:10" ht="15">
      <c r="A16" s="303">
        <v>9</v>
      </c>
      <c r="B16" s="304" t="s">
        <v>258</v>
      </c>
      <c r="C16" s="304" t="s">
        <v>257</v>
      </c>
      <c r="D16" s="407">
        <v>0.023668981481481485</v>
      </c>
      <c r="E16" s="306">
        <v>1</v>
      </c>
      <c r="F16" s="306">
        <v>30</v>
      </c>
      <c r="G16" s="393">
        <v>0.02872685185185185</v>
      </c>
      <c r="H16" s="352">
        <f t="shared" si="0"/>
        <v>0.823932312651088</v>
      </c>
      <c r="I16" s="15">
        <v>88</v>
      </c>
      <c r="J16" s="393">
        <v>0.02806712962962963</v>
      </c>
    </row>
    <row r="17" spans="1:10" ht="15">
      <c r="A17" s="299">
        <v>10</v>
      </c>
      <c r="B17" s="300" t="s">
        <v>243</v>
      </c>
      <c r="C17" s="300" t="s">
        <v>275</v>
      </c>
      <c r="D17" s="408">
        <v>0.02369212962962963</v>
      </c>
      <c r="E17" s="302">
        <v>1</v>
      </c>
      <c r="F17" s="302">
        <v>30</v>
      </c>
      <c r="G17" s="393">
        <v>0.027939814814814817</v>
      </c>
      <c r="H17" s="352">
        <f t="shared" si="0"/>
        <v>0.8479701739850869</v>
      </c>
      <c r="I17" s="15">
        <v>67</v>
      </c>
      <c r="J17" s="393">
        <v>0.027939814814814817</v>
      </c>
    </row>
    <row r="18" spans="1:10" ht="15">
      <c r="A18" s="303">
        <v>11</v>
      </c>
      <c r="B18" s="304" t="s">
        <v>63</v>
      </c>
      <c r="C18" s="304" t="s">
        <v>64</v>
      </c>
      <c r="D18" s="407">
        <v>0.024039351851851853</v>
      </c>
      <c r="E18" s="306">
        <v>2</v>
      </c>
      <c r="F18" s="306">
        <v>29</v>
      </c>
      <c r="G18" s="393">
        <v>0.027777777777777776</v>
      </c>
      <c r="H18" s="352">
        <f t="shared" si="0"/>
        <v>0.8654166666666667</v>
      </c>
      <c r="I18" s="15">
        <v>49</v>
      </c>
      <c r="J18" s="393">
        <v>0.028344907407407405</v>
      </c>
    </row>
    <row r="19" spans="1:10" ht="15">
      <c r="A19" s="303">
        <v>12</v>
      </c>
      <c r="B19" s="304" t="s">
        <v>219</v>
      </c>
      <c r="C19" s="304" t="s">
        <v>388</v>
      </c>
      <c r="D19" s="407">
        <v>0.024537037037037038</v>
      </c>
      <c r="E19" s="306">
        <v>3</v>
      </c>
      <c r="F19" s="306">
        <v>28</v>
      </c>
      <c r="G19" s="393">
        <v>0.029305555555555557</v>
      </c>
      <c r="H19" s="352">
        <f t="shared" si="0"/>
        <v>0.8372827804107424</v>
      </c>
      <c r="I19" s="15">
        <v>76</v>
      </c>
      <c r="J19" s="393">
        <v>0.02902777777777778</v>
      </c>
    </row>
    <row r="20" spans="1:10" ht="15">
      <c r="A20" s="303">
        <v>13</v>
      </c>
      <c r="B20" s="304" t="s">
        <v>406</v>
      </c>
      <c r="C20" s="304" t="s">
        <v>582</v>
      </c>
      <c r="D20" s="407">
        <v>0.024548611111111115</v>
      </c>
      <c r="E20" s="306">
        <v>4</v>
      </c>
      <c r="F20" s="306">
        <v>27</v>
      </c>
      <c r="G20" s="393">
        <v>0.02871527777777778</v>
      </c>
      <c r="H20" s="352">
        <f t="shared" si="0"/>
        <v>0.8548972188633616</v>
      </c>
      <c r="I20" s="15">
        <v>58</v>
      </c>
      <c r="J20" s="393">
        <v>0.028993055555555557</v>
      </c>
    </row>
    <row r="21" spans="1:10" ht="15">
      <c r="A21" s="303">
        <v>14</v>
      </c>
      <c r="B21" s="304" t="s">
        <v>69</v>
      </c>
      <c r="C21" s="304" t="s">
        <v>70</v>
      </c>
      <c r="D21" s="407">
        <v>0.02461805555555556</v>
      </c>
      <c r="E21" s="306">
        <v>5</v>
      </c>
      <c r="F21" s="306">
        <v>26</v>
      </c>
      <c r="G21" s="393">
        <v>0.03006944444444444</v>
      </c>
      <c r="H21" s="352">
        <f t="shared" si="0"/>
        <v>0.8187066974595846</v>
      </c>
      <c r="I21" s="15">
        <v>93</v>
      </c>
      <c r="J21" s="393">
        <v>0.029247685185185182</v>
      </c>
    </row>
    <row r="22" spans="1:10" ht="16.5">
      <c r="A22" s="86">
        <v>15</v>
      </c>
      <c r="B22" s="15" t="s">
        <v>356</v>
      </c>
      <c r="C22" s="15" t="s">
        <v>550</v>
      </c>
      <c r="D22" s="404">
        <v>0.02462962962962963</v>
      </c>
      <c r="G22" s="393"/>
      <c r="H22" s="352"/>
      <c r="I22" s="405"/>
      <c r="J22" s="405"/>
    </row>
    <row r="23" spans="1:10" ht="15">
      <c r="A23" s="307">
        <v>16</v>
      </c>
      <c r="B23" s="308" t="s">
        <v>259</v>
      </c>
      <c r="C23" s="308" t="s">
        <v>256</v>
      </c>
      <c r="D23" s="409">
        <v>0.024641203703703703</v>
      </c>
      <c r="E23" s="310">
        <v>1</v>
      </c>
      <c r="F23" s="310">
        <v>30</v>
      </c>
      <c r="G23" s="393">
        <v>0.02946759259259259</v>
      </c>
      <c r="H23" s="352">
        <f aca="true" t="shared" si="1" ref="H23:H59">+D23/G23</f>
        <v>0.8362136684996073</v>
      </c>
      <c r="I23" s="15">
        <v>77</v>
      </c>
      <c r="J23" s="393">
        <v>0.02915509259259259</v>
      </c>
    </row>
    <row r="24" spans="1:10" ht="15">
      <c r="A24" s="299">
        <v>17</v>
      </c>
      <c r="B24" s="300" t="s">
        <v>63</v>
      </c>
      <c r="C24" s="300" t="s">
        <v>110</v>
      </c>
      <c r="D24" s="408">
        <v>0.024988425925925928</v>
      </c>
      <c r="E24" s="302">
        <v>2</v>
      </c>
      <c r="F24" s="302">
        <v>29</v>
      </c>
      <c r="G24" s="393">
        <v>0.02988425925925926</v>
      </c>
      <c r="H24" s="352">
        <f t="shared" si="1"/>
        <v>0.8361735089078235</v>
      </c>
      <c r="I24" s="15">
        <v>78</v>
      </c>
      <c r="J24" s="393">
        <v>0.02953703703703704</v>
      </c>
    </row>
    <row r="25" spans="1:10" ht="15">
      <c r="A25" s="299">
        <v>18</v>
      </c>
      <c r="B25" s="300" t="s">
        <v>187</v>
      </c>
      <c r="C25" s="300" t="s">
        <v>88</v>
      </c>
      <c r="D25" s="408">
        <v>0.025023148148148145</v>
      </c>
      <c r="E25" s="302">
        <v>3</v>
      </c>
      <c r="F25" s="302">
        <v>28</v>
      </c>
      <c r="G25" s="393">
        <v>0.030150462962962962</v>
      </c>
      <c r="H25" s="352">
        <f t="shared" si="1"/>
        <v>0.8299424184261036</v>
      </c>
      <c r="I25" s="15">
        <v>84</v>
      </c>
      <c r="J25" s="393">
        <v>0.029618055555555554</v>
      </c>
    </row>
    <row r="26" spans="1:10" ht="15">
      <c r="A26" s="303">
        <v>19</v>
      </c>
      <c r="B26" s="304" t="s">
        <v>73</v>
      </c>
      <c r="C26" s="304" t="s">
        <v>74</v>
      </c>
      <c r="D26" s="407">
        <v>0.02513888888888889</v>
      </c>
      <c r="E26" s="306">
        <v>6</v>
      </c>
      <c r="F26" s="306">
        <v>25</v>
      </c>
      <c r="G26" s="393">
        <v>0.030381944444444444</v>
      </c>
      <c r="H26" s="352">
        <f t="shared" si="1"/>
        <v>0.8274285714285715</v>
      </c>
      <c r="I26" s="15">
        <v>85</v>
      </c>
      <c r="J26" s="393">
        <v>0.029814814814814815</v>
      </c>
    </row>
    <row r="27" spans="1:10" ht="15">
      <c r="A27" s="299">
        <v>20</v>
      </c>
      <c r="B27" s="300" t="s">
        <v>321</v>
      </c>
      <c r="C27" s="300" t="s">
        <v>132</v>
      </c>
      <c r="D27" s="408">
        <v>0.02546296296296296</v>
      </c>
      <c r="E27" s="302">
        <v>4</v>
      </c>
      <c r="F27" s="302">
        <v>27</v>
      </c>
      <c r="G27" s="393">
        <v>0.02989583333333333</v>
      </c>
      <c r="H27" s="352">
        <f t="shared" si="1"/>
        <v>0.8517228029423152</v>
      </c>
      <c r="I27" s="15">
        <v>63</v>
      </c>
      <c r="J27" s="393">
        <v>0.030023148148148146</v>
      </c>
    </row>
    <row r="28" spans="1:10" ht="15">
      <c r="A28" s="303">
        <v>21</v>
      </c>
      <c r="B28" s="304" t="s">
        <v>113</v>
      </c>
      <c r="C28" s="304" t="s">
        <v>114</v>
      </c>
      <c r="D28" s="407">
        <v>0.02550925925925926</v>
      </c>
      <c r="E28" s="306">
        <v>7</v>
      </c>
      <c r="F28" s="306">
        <v>24</v>
      </c>
      <c r="G28" s="393">
        <v>0.030208333333333334</v>
      </c>
      <c r="H28" s="352">
        <f t="shared" si="1"/>
        <v>0.8444444444444444</v>
      </c>
      <c r="I28" s="15">
        <v>71</v>
      </c>
      <c r="J28" s="393">
        <v>0.030081018518518517</v>
      </c>
    </row>
    <row r="29" spans="1:10" ht="15">
      <c r="A29" s="303">
        <v>22</v>
      </c>
      <c r="B29" s="304" t="s">
        <v>187</v>
      </c>
      <c r="C29" s="304" t="s">
        <v>77</v>
      </c>
      <c r="D29" s="407">
        <v>0.025729166666666664</v>
      </c>
      <c r="E29" s="306">
        <v>8</v>
      </c>
      <c r="F29" s="306">
        <v>23</v>
      </c>
      <c r="G29" s="393">
        <v>0.02849537037037037</v>
      </c>
      <c r="H29" s="352">
        <f t="shared" si="1"/>
        <v>0.9029244516653128</v>
      </c>
      <c r="I29" s="15">
        <v>39</v>
      </c>
      <c r="J29" s="393">
        <v>0.029386574074074072</v>
      </c>
    </row>
    <row r="30" spans="1:10" ht="15">
      <c r="A30" s="299">
        <v>23</v>
      </c>
      <c r="B30" s="300" t="s">
        <v>314</v>
      </c>
      <c r="C30" s="300" t="s">
        <v>101</v>
      </c>
      <c r="D30" s="408">
        <v>0.025995370370370367</v>
      </c>
      <c r="E30" s="302">
        <v>5</v>
      </c>
      <c r="F30" s="302">
        <v>26</v>
      </c>
      <c r="G30" s="393">
        <v>0.031689814814814816</v>
      </c>
      <c r="H30" s="352">
        <f t="shared" si="1"/>
        <v>0.8203067932797661</v>
      </c>
      <c r="I30" s="15">
        <v>91</v>
      </c>
      <c r="J30" s="393">
        <v>0.030925925925925926</v>
      </c>
    </row>
    <row r="31" spans="1:10" ht="15">
      <c r="A31" s="307">
        <v>24</v>
      </c>
      <c r="B31" s="308" t="s">
        <v>189</v>
      </c>
      <c r="C31" s="308" t="s">
        <v>162</v>
      </c>
      <c r="D31" s="409">
        <v>0.026122685185185183</v>
      </c>
      <c r="E31" s="310">
        <v>2</v>
      </c>
      <c r="F31" s="310">
        <v>29</v>
      </c>
      <c r="G31" s="393">
        <v>0.03167824074074074</v>
      </c>
      <c r="H31" s="352">
        <f t="shared" si="1"/>
        <v>0.8246255023748629</v>
      </c>
      <c r="I31" s="15">
        <v>87</v>
      </c>
      <c r="J31" s="393">
        <v>0.03104166666666667</v>
      </c>
    </row>
    <row r="32" spans="1:10" ht="15">
      <c r="A32" s="307">
        <v>25</v>
      </c>
      <c r="B32" s="308" t="s">
        <v>314</v>
      </c>
      <c r="C32" s="308" t="s">
        <v>238</v>
      </c>
      <c r="D32" s="409">
        <v>0.02621527777777778</v>
      </c>
      <c r="E32" s="310">
        <v>3</v>
      </c>
      <c r="F32" s="310">
        <v>28</v>
      </c>
      <c r="G32" s="393">
        <v>0.03201388888888889</v>
      </c>
      <c r="H32" s="352">
        <f t="shared" si="1"/>
        <v>0.8188720173535792</v>
      </c>
      <c r="I32" s="15">
        <v>92</v>
      </c>
      <c r="J32" s="393">
        <v>0.031226851851851853</v>
      </c>
    </row>
    <row r="33" spans="1:10" ht="15">
      <c r="A33" s="299">
        <v>26</v>
      </c>
      <c r="B33" s="300" t="s">
        <v>63</v>
      </c>
      <c r="C33" s="300" t="s">
        <v>91</v>
      </c>
      <c r="D33" s="408">
        <v>0.02638888888888889</v>
      </c>
      <c r="E33" s="302">
        <v>6</v>
      </c>
      <c r="F33" s="302">
        <v>25</v>
      </c>
      <c r="G33" s="393">
        <v>0.03072916666666667</v>
      </c>
      <c r="H33" s="352">
        <f t="shared" si="1"/>
        <v>0.8587570621468926</v>
      </c>
      <c r="I33" s="15">
        <v>55</v>
      </c>
      <c r="J33" s="393">
        <v>0.031111111111111114</v>
      </c>
    </row>
    <row r="34" spans="1:10" ht="15">
      <c r="A34" s="299">
        <v>27</v>
      </c>
      <c r="B34" s="300" t="s">
        <v>219</v>
      </c>
      <c r="C34" s="300" t="s">
        <v>508</v>
      </c>
      <c r="D34" s="408">
        <v>0.026412037037037036</v>
      </c>
      <c r="E34" s="302">
        <v>7</v>
      </c>
      <c r="F34" s="302">
        <v>24</v>
      </c>
      <c r="G34" s="393">
        <v>0.03125</v>
      </c>
      <c r="H34" s="352">
        <f t="shared" si="1"/>
        <v>0.8451851851851852</v>
      </c>
      <c r="I34" s="15">
        <v>70</v>
      </c>
      <c r="J34" s="393">
        <v>0.031157407407407408</v>
      </c>
    </row>
    <row r="35" spans="1:10" ht="15">
      <c r="A35" s="299">
        <v>28</v>
      </c>
      <c r="B35" s="300" t="s">
        <v>517</v>
      </c>
      <c r="C35" s="300" t="s">
        <v>516</v>
      </c>
      <c r="D35" s="408">
        <v>0.026504629629629628</v>
      </c>
      <c r="E35" s="302">
        <v>8</v>
      </c>
      <c r="F35" s="302">
        <v>23</v>
      </c>
      <c r="G35" s="393">
        <v>0.03125</v>
      </c>
      <c r="H35" s="352">
        <f t="shared" si="1"/>
        <v>0.8481481481481481</v>
      </c>
      <c r="I35" s="15">
        <v>66</v>
      </c>
      <c r="J35" s="393">
        <v>0.03127314814814815</v>
      </c>
    </row>
    <row r="36" spans="1:10" ht="15">
      <c r="A36" s="299">
        <v>29</v>
      </c>
      <c r="B36" s="300" t="s">
        <v>235</v>
      </c>
      <c r="C36" s="300" t="s">
        <v>236</v>
      </c>
      <c r="D36" s="408">
        <v>0.02664351851851852</v>
      </c>
      <c r="E36" s="302">
        <v>9</v>
      </c>
      <c r="F36" s="302">
        <v>22</v>
      </c>
      <c r="G36" s="393">
        <v>0.03090277777777778</v>
      </c>
      <c r="H36" s="352">
        <f t="shared" si="1"/>
        <v>0.8621722846441948</v>
      </c>
      <c r="I36" s="15">
        <v>53</v>
      </c>
      <c r="J36" s="393">
        <v>0.031342592592592596</v>
      </c>
    </row>
    <row r="37" spans="1:10" ht="15">
      <c r="A37" s="299">
        <v>30</v>
      </c>
      <c r="B37" s="300" t="s">
        <v>187</v>
      </c>
      <c r="C37" s="300" t="s">
        <v>248</v>
      </c>
      <c r="D37" s="408">
        <v>0.02666666666666667</v>
      </c>
      <c r="E37" s="302">
        <v>10</v>
      </c>
      <c r="F37" s="302">
        <v>21</v>
      </c>
      <c r="G37" s="393">
        <v>0.03145833333333333</v>
      </c>
      <c r="H37" s="352">
        <f t="shared" si="1"/>
        <v>0.8476821192052981</v>
      </c>
      <c r="I37" s="15">
        <v>69</v>
      </c>
      <c r="J37" s="393">
        <v>0.03140046296296296</v>
      </c>
    </row>
    <row r="38" spans="1:10" ht="15">
      <c r="A38" s="307">
        <v>31</v>
      </c>
      <c r="B38" s="308" t="s">
        <v>276</v>
      </c>
      <c r="C38" s="308" t="s">
        <v>38</v>
      </c>
      <c r="D38" s="409">
        <v>0.02736111111111111</v>
      </c>
      <c r="E38" s="310">
        <v>4</v>
      </c>
      <c r="F38" s="310">
        <v>27</v>
      </c>
      <c r="G38" s="393">
        <v>0.03113425925925926</v>
      </c>
      <c r="H38" s="352">
        <f t="shared" si="1"/>
        <v>0.878810408921933</v>
      </c>
      <c r="I38" s="15">
        <v>44</v>
      </c>
      <c r="J38" s="393">
        <v>0.03186342592592593</v>
      </c>
    </row>
    <row r="39" spans="1:10" ht="15">
      <c r="A39" s="307">
        <v>32</v>
      </c>
      <c r="B39" s="308" t="s">
        <v>103</v>
      </c>
      <c r="C39" s="308" t="s">
        <v>104</v>
      </c>
      <c r="D39" s="409">
        <v>0.028194444444444442</v>
      </c>
      <c r="E39" s="310">
        <v>5</v>
      </c>
      <c r="F39" s="310">
        <v>26</v>
      </c>
      <c r="G39" s="393">
        <v>0.033229166666666664</v>
      </c>
      <c r="H39" s="352">
        <f t="shared" si="1"/>
        <v>0.8484848484848485</v>
      </c>
      <c r="I39" s="15">
        <v>65</v>
      </c>
      <c r="J39" s="393">
        <v>0.03328703703703703</v>
      </c>
    </row>
    <row r="40" spans="1:10" ht="15">
      <c r="A40" s="299">
        <v>33</v>
      </c>
      <c r="B40" s="300" t="s">
        <v>342</v>
      </c>
      <c r="C40" s="300" t="s">
        <v>341</v>
      </c>
      <c r="D40" s="408">
        <v>0.028287037037037038</v>
      </c>
      <c r="E40" s="302">
        <v>11</v>
      </c>
      <c r="F40" s="302">
        <v>20</v>
      </c>
      <c r="G40" s="393">
        <v>0.03266203703703704</v>
      </c>
      <c r="H40" s="352">
        <f t="shared" si="1"/>
        <v>0.8660524450744153</v>
      </c>
      <c r="I40" s="15">
        <v>48</v>
      </c>
      <c r="J40" s="393">
        <v>0.03326388888888889</v>
      </c>
    </row>
    <row r="41" spans="1:10" ht="15">
      <c r="A41" s="307">
        <v>34</v>
      </c>
      <c r="B41" s="308" t="s">
        <v>519</v>
      </c>
      <c r="C41" s="308" t="s">
        <v>156</v>
      </c>
      <c r="D41" s="409">
        <v>0.028402777777777777</v>
      </c>
      <c r="E41" s="310">
        <v>6</v>
      </c>
      <c r="F41" s="310">
        <v>25</v>
      </c>
      <c r="G41" s="393">
        <v>0.034942129629629635</v>
      </c>
      <c r="H41" s="352">
        <f t="shared" si="1"/>
        <v>0.8128519377277242</v>
      </c>
      <c r="I41" s="15">
        <v>94</v>
      </c>
      <c r="J41" s="393">
        <v>0.03408564814814816</v>
      </c>
    </row>
    <row r="42" spans="1:10" ht="15">
      <c r="A42" s="256">
        <v>35</v>
      </c>
      <c r="B42" s="257" t="s">
        <v>139</v>
      </c>
      <c r="C42" s="257" t="s">
        <v>140</v>
      </c>
      <c r="D42" s="410">
        <v>0.028877314814814817</v>
      </c>
      <c r="E42" s="312">
        <v>1</v>
      </c>
      <c r="F42" s="312">
        <v>30</v>
      </c>
      <c r="G42" s="393">
        <v>0.0346875</v>
      </c>
      <c r="H42" s="352">
        <f t="shared" si="1"/>
        <v>0.8324991658324992</v>
      </c>
      <c r="I42" s="15">
        <v>82</v>
      </c>
      <c r="J42" s="393">
        <v>0.034212962962962966</v>
      </c>
    </row>
    <row r="43" spans="1:10" ht="15">
      <c r="A43" s="307">
        <v>36</v>
      </c>
      <c r="B43" s="308" t="s">
        <v>103</v>
      </c>
      <c r="C43" s="308" t="s">
        <v>135</v>
      </c>
      <c r="D43" s="409">
        <v>0.028935185185185185</v>
      </c>
      <c r="E43" s="310">
        <v>7</v>
      </c>
      <c r="F43" s="310">
        <v>24</v>
      </c>
      <c r="G43" s="393">
        <v>0.033553240740740745</v>
      </c>
      <c r="H43" s="352">
        <f t="shared" si="1"/>
        <v>0.8623663332183511</v>
      </c>
      <c r="I43" s="15">
        <v>52</v>
      </c>
      <c r="J43" s="393">
        <v>0.03402777777777778</v>
      </c>
    </row>
    <row r="44" spans="1:10" ht="15">
      <c r="A44" s="307">
        <v>37</v>
      </c>
      <c r="B44" s="308" t="s">
        <v>316</v>
      </c>
      <c r="C44" s="308" t="s">
        <v>315</v>
      </c>
      <c r="D44" s="409">
        <v>0.029039351851851854</v>
      </c>
      <c r="E44" s="310">
        <v>8</v>
      </c>
      <c r="F44" s="310">
        <v>23</v>
      </c>
      <c r="G44" s="393">
        <v>0.034826388888888886</v>
      </c>
      <c r="H44" s="352">
        <f t="shared" si="1"/>
        <v>0.8338318378198739</v>
      </c>
      <c r="I44" s="15">
        <v>80</v>
      </c>
      <c r="J44" s="393">
        <v>0.03442129629629629</v>
      </c>
    </row>
    <row r="45" spans="1:10" ht="15">
      <c r="A45" s="307">
        <v>38</v>
      </c>
      <c r="B45" s="308" t="s">
        <v>218</v>
      </c>
      <c r="C45" s="308" t="s">
        <v>393</v>
      </c>
      <c r="D45" s="409">
        <v>0.029166666666666664</v>
      </c>
      <c r="E45" s="310">
        <v>9</v>
      </c>
      <c r="F45" s="310">
        <v>22</v>
      </c>
      <c r="G45" s="393">
        <v>0.0338425925925926</v>
      </c>
      <c r="H45" s="352">
        <f t="shared" si="1"/>
        <v>0.8618331053351571</v>
      </c>
      <c r="I45" s="15">
        <v>54</v>
      </c>
      <c r="J45" s="393">
        <v>0.034247685185185194</v>
      </c>
    </row>
    <row r="46" spans="1:10" ht="15">
      <c r="A46" s="256">
        <v>39</v>
      </c>
      <c r="B46" s="257" t="s">
        <v>518</v>
      </c>
      <c r="C46" s="257" t="s">
        <v>178</v>
      </c>
      <c r="D46" s="410">
        <v>0.029664351851851855</v>
      </c>
      <c r="E46" s="312">
        <v>2</v>
      </c>
      <c r="F46" s="312">
        <v>29</v>
      </c>
      <c r="G46" s="393">
        <v>0.03673611111111111</v>
      </c>
      <c r="H46" s="352">
        <f t="shared" si="1"/>
        <v>0.8074984247006933</v>
      </c>
      <c r="I46" s="15">
        <v>96</v>
      </c>
      <c r="J46" s="393">
        <v>0.035821759259259255</v>
      </c>
    </row>
    <row r="47" spans="1:10" ht="15">
      <c r="A47" s="256">
        <v>40</v>
      </c>
      <c r="B47" s="257" t="s">
        <v>360</v>
      </c>
      <c r="C47" s="257" t="s">
        <v>359</v>
      </c>
      <c r="D47" s="410">
        <v>0.029826388888888892</v>
      </c>
      <c r="E47" s="312">
        <v>3</v>
      </c>
      <c r="F47" s="312">
        <v>28</v>
      </c>
      <c r="G47" s="393">
        <v>0.03408564814814815</v>
      </c>
      <c r="H47" s="352">
        <f t="shared" si="1"/>
        <v>0.8750424448217318</v>
      </c>
      <c r="I47" s="15">
        <v>45</v>
      </c>
      <c r="J47" s="393">
        <v>0.03478009259259259</v>
      </c>
    </row>
    <row r="48" spans="1:10" ht="15">
      <c r="A48" s="256">
        <v>41</v>
      </c>
      <c r="B48" s="257" t="s">
        <v>33</v>
      </c>
      <c r="C48" s="257" t="s">
        <v>123</v>
      </c>
      <c r="D48" s="410">
        <v>0.03005787037037037</v>
      </c>
      <c r="E48" s="312">
        <v>4</v>
      </c>
      <c r="F48" s="312">
        <v>27</v>
      </c>
      <c r="G48" s="393">
        <v>0.0352662037037037</v>
      </c>
      <c r="H48" s="352">
        <f t="shared" si="1"/>
        <v>0.8523137512307187</v>
      </c>
      <c r="I48" s="15">
        <v>62</v>
      </c>
      <c r="J48" s="393">
        <v>0.035416666666666666</v>
      </c>
    </row>
    <row r="49" spans="1:10" ht="15">
      <c r="A49" s="307">
        <v>42</v>
      </c>
      <c r="B49" s="308" t="s">
        <v>223</v>
      </c>
      <c r="C49" s="308" t="s">
        <v>114</v>
      </c>
      <c r="D49" s="409">
        <v>0.030833333333333334</v>
      </c>
      <c r="E49" s="310">
        <v>10</v>
      </c>
      <c r="F49" s="310">
        <v>21</v>
      </c>
      <c r="G49" s="393">
        <v>0.033715277777777775</v>
      </c>
      <c r="H49" s="352">
        <f t="shared" si="1"/>
        <v>0.9145211122554069</v>
      </c>
      <c r="I49" s="15">
        <v>37</v>
      </c>
      <c r="J49" s="393">
        <v>0.03466435185185185</v>
      </c>
    </row>
    <row r="50" spans="1:10" ht="15">
      <c r="A50" s="307">
        <v>43</v>
      </c>
      <c r="B50" s="308" t="s">
        <v>413</v>
      </c>
      <c r="C50" s="308" t="s">
        <v>137</v>
      </c>
      <c r="D50" s="409">
        <v>0.03085648148148148</v>
      </c>
      <c r="E50" s="310">
        <v>11</v>
      </c>
      <c r="F50" s="310">
        <v>20</v>
      </c>
      <c r="G50" s="393">
        <v>0.034305555555555554</v>
      </c>
      <c r="H50" s="352">
        <f t="shared" si="1"/>
        <v>0.8994601889338731</v>
      </c>
      <c r="I50" s="15">
        <v>40</v>
      </c>
      <c r="J50" s="393">
        <v>0.03516203703703703</v>
      </c>
    </row>
    <row r="51" spans="1:10" ht="15">
      <c r="A51" s="256">
        <v>44</v>
      </c>
      <c r="B51" s="257" t="s">
        <v>317</v>
      </c>
      <c r="C51" s="257" t="s">
        <v>116</v>
      </c>
      <c r="D51" s="410">
        <v>0.031099537037037037</v>
      </c>
      <c r="E51" s="312">
        <v>5</v>
      </c>
      <c r="F51" s="312">
        <v>26</v>
      </c>
      <c r="G51" s="393">
        <v>0.03521990740740741</v>
      </c>
      <c r="H51" s="352">
        <f t="shared" si="1"/>
        <v>0.8830101873151495</v>
      </c>
      <c r="I51" s="15">
        <v>42</v>
      </c>
      <c r="J51" s="393">
        <v>0.036006944444444446</v>
      </c>
    </row>
    <row r="52" spans="1:10" ht="15">
      <c r="A52" s="256">
        <v>45</v>
      </c>
      <c r="B52" s="257" t="s">
        <v>366</v>
      </c>
      <c r="C52" s="257" t="s">
        <v>365</v>
      </c>
      <c r="D52" s="410">
        <v>0.031261574074074074</v>
      </c>
      <c r="E52" s="312">
        <v>6</v>
      </c>
      <c r="F52" s="312">
        <v>25</v>
      </c>
      <c r="G52" s="393">
        <v>0.036516203703703703</v>
      </c>
      <c r="H52" s="352">
        <f t="shared" si="1"/>
        <v>0.8561014263074485</v>
      </c>
      <c r="I52" s="15">
        <v>57</v>
      </c>
      <c r="J52" s="393">
        <v>0.036828703703703704</v>
      </c>
    </row>
    <row r="53" spans="1:10" ht="15">
      <c r="A53" s="256">
        <v>46</v>
      </c>
      <c r="B53" s="257" t="s">
        <v>321</v>
      </c>
      <c r="C53" s="257" t="s">
        <v>190</v>
      </c>
      <c r="D53" s="410">
        <v>0.03189814814814815</v>
      </c>
      <c r="E53" s="312">
        <v>7</v>
      </c>
      <c r="F53" s="312">
        <v>24</v>
      </c>
      <c r="G53" s="393">
        <v>0.03747685185185185</v>
      </c>
      <c r="H53" s="352">
        <f t="shared" si="1"/>
        <v>0.8511426806670784</v>
      </c>
      <c r="I53" s="15">
        <v>64</v>
      </c>
      <c r="J53" s="393">
        <v>0.03756944444444445</v>
      </c>
    </row>
    <row r="54" spans="1:10" ht="15">
      <c r="A54" s="299">
        <v>47</v>
      </c>
      <c r="B54" s="300" t="s">
        <v>115</v>
      </c>
      <c r="C54" s="300" t="s">
        <v>116</v>
      </c>
      <c r="D54" s="408">
        <v>0.03193287037037037</v>
      </c>
      <c r="E54" s="302">
        <v>12</v>
      </c>
      <c r="F54" s="302">
        <v>19</v>
      </c>
      <c r="G54" s="393">
        <v>0.03043981481481482</v>
      </c>
      <c r="H54" s="352">
        <f t="shared" si="1"/>
        <v>1.0490494296577946</v>
      </c>
      <c r="I54" s="15">
        <v>34</v>
      </c>
      <c r="J54" s="393">
        <v>0.031481481481481485</v>
      </c>
    </row>
    <row r="55" spans="1:10" ht="15">
      <c r="A55" s="256">
        <v>48</v>
      </c>
      <c r="B55" s="257" t="s">
        <v>73</v>
      </c>
      <c r="C55" s="257" t="s">
        <v>297</v>
      </c>
      <c r="D55" s="410">
        <v>0.03200231481481482</v>
      </c>
      <c r="E55" s="312">
        <v>8</v>
      </c>
      <c r="F55" s="312">
        <v>23</v>
      </c>
      <c r="G55" s="393">
        <v>0.0375462962962963</v>
      </c>
      <c r="H55" s="352">
        <f t="shared" si="1"/>
        <v>0.8523427866831073</v>
      </c>
      <c r="I55" s="15">
        <v>61</v>
      </c>
      <c r="J55" s="393">
        <v>0.037731481481481484</v>
      </c>
    </row>
    <row r="56" spans="1:10" ht="15">
      <c r="A56" s="299">
        <v>49</v>
      </c>
      <c r="B56" s="300" t="s">
        <v>117</v>
      </c>
      <c r="C56" s="300" t="s">
        <v>118</v>
      </c>
      <c r="D56" s="408">
        <v>0.03207175925925926</v>
      </c>
      <c r="E56" s="302">
        <v>13</v>
      </c>
      <c r="F56" s="302">
        <v>18</v>
      </c>
      <c r="G56" s="393">
        <v>0.0327662037037037</v>
      </c>
      <c r="H56" s="352">
        <f t="shared" si="1"/>
        <v>0.9788060755916638</v>
      </c>
      <c r="I56" s="15">
        <v>35</v>
      </c>
      <c r="J56" s="393">
        <v>0.033784722222222216</v>
      </c>
    </row>
    <row r="57" spans="1:10" ht="15">
      <c r="A57" s="256">
        <v>50</v>
      </c>
      <c r="B57" s="257" t="s">
        <v>96</v>
      </c>
      <c r="C57" s="257" t="s">
        <v>296</v>
      </c>
      <c r="D57" s="410">
        <v>0.03224537037037037</v>
      </c>
      <c r="E57" s="312">
        <v>9</v>
      </c>
      <c r="F57" s="312">
        <v>22</v>
      </c>
      <c r="G57" s="393">
        <v>0.03782407407407407</v>
      </c>
      <c r="H57" s="352">
        <f t="shared" si="1"/>
        <v>0.8525091799265606</v>
      </c>
      <c r="I57" s="15">
        <v>60</v>
      </c>
      <c r="J57" s="393">
        <v>0.03804398148148148</v>
      </c>
    </row>
    <row r="58" spans="1:10" ht="15">
      <c r="A58" s="307">
        <v>51</v>
      </c>
      <c r="B58" s="308" t="s">
        <v>228</v>
      </c>
      <c r="C58" s="308" t="s">
        <v>340</v>
      </c>
      <c r="D58" s="409">
        <v>0.03255787037037037</v>
      </c>
      <c r="E58" s="310">
        <v>12</v>
      </c>
      <c r="F58" s="310">
        <v>19</v>
      </c>
      <c r="G58" s="393">
        <v>0.03398148148148148</v>
      </c>
      <c r="H58" s="352">
        <f t="shared" si="1"/>
        <v>0.9581062670299727</v>
      </c>
      <c r="I58" s="15">
        <v>36</v>
      </c>
      <c r="J58" s="393">
        <v>0.034965277777777776</v>
      </c>
    </row>
    <row r="59" spans="1:10" ht="15">
      <c r="A59" s="256">
        <v>52</v>
      </c>
      <c r="B59" s="257" t="s">
        <v>176</v>
      </c>
      <c r="C59" s="257" t="s">
        <v>177</v>
      </c>
      <c r="D59" s="410">
        <v>0.03297453703703704</v>
      </c>
      <c r="E59" s="312">
        <v>10</v>
      </c>
      <c r="F59" s="312">
        <v>21</v>
      </c>
      <c r="G59" s="393">
        <v>0.03771990740740741</v>
      </c>
      <c r="H59" s="352">
        <f t="shared" si="1"/>
        <v>0.8741945382019024</v>
      </c>
      <c r="I59" s="15">
        <v>46</v>
      </c>
      <c r="J59" s="393">
        <v>0.03837962962962963</v>
      </c>
    </row>
    <row r="60" spans="1:10" ht="16.5">
      <c r="A60" s="86">
        <v>53</v>
      </c>
      <c r="B60" s="15" t="s">
        <v>503</v>
      </c>
      <c r="C60" s="15" t="s">
        <v>591</v>
      </c>
      <c r="D60" s="404">
        <v>0.03363425925925926</v>
      </c>
      <c r="G60" s="393"/>
      <c r="H60" s="352"/>
      <c r="I60" s="405"/>
      <c r="J60" s="405"/>
    </row>
    <row r="61" spans="1:10" ht="15">
      <c r="A61" s="313">
        <v>54</v>
      </c>
      <c r="B61" s="314" t="s">
        <v>379</v>
      </c>
      <c r="C61" s="314" t="s">
        <v>341</v>
      </c>
      <c r="D61" s="411">
        <v>0.033888888888888885</v>
      </c>
      <c r="E61" s="316">
        <v>1</v>
      </c>
      <c r="F61" s="316">
        <v>30</v>
      </c>
      <c r="G61" s="393">
        <v>0.04047453703703704</v>
      </c>
      <c r="H61" s="352">
        <f>+D61/G61</f>
        <v>0.8372891049470974</v>
      </c>
      <c r="I61" s="15">
        <v>75</v>
      </c>
      <c r="J61" s="393">
        <v>0.040219907407407406</v>
      </c>
    </row>
    <row r="62" spans="1:10" ht="15">
      <c r="A62" s="313">
        <v>55</v>
      </c>
      <c r="B62" s="314" t="s">
        <v>237</v>
      </c>
      <c r="C62" s="314" t="s">
        <v>271</v>
      </c>
      <c r="D62" s="411">
        <v>0.03392361111111111</v>
      </c>
      <c r="E62" s="316">
        <v>2</v>
      </c>
      <c r="F62" s="316">
        <v>29</v>
      </c>
      <c r="G62" s="393">
        <v>0.04070601851851852</v>
      </c>
      <c r="H62" s="352">
        <f>+D62/G62</f>
        <v>0.8333807222064259</v>
      </c>
      <c r="I62" s="15">
        <v>81</v>
      </c>
      <c r="J62" s="393">
        <v>0.04026620370370371</v>
      </c>
    </row>
    <row r="63" spans="1:10" ht="15">
      <c r="A63" s="317">
        <v>56</v>
      </c>
      <c r="B63" s="318" t="s">
        <v>228</v>
      </c>
      <c r="C63" s="318" t="s">
        <v>244</v>
      </c>
      <c r="D63" s="330">
        <v>0.03415509259259259</v>
      </c>
      <c r="E63" s="320">
        <v>1</v>
      </c>
      <c r="F63" s="320">
        <v>30</v>
      </c>
      <c r="G63" s="393">
        <v>0.04163194444444445</v>
      </c>
      <c r="H63" s="352">
        <f>+D63/G63</f>
        <v>0.8204058938003891</v>
      </c>
      <c r="I63" s="15">
        <v>90</v>
      </c>
      <c r="J63" s="393">
        <v>0.04090277777777778</v>
      </c>
    </row>
    <row r="64" spans="1:10" ht="16.5">
      <c r="A64" s="86">
        <v>57</v>
      </c>
      <c r="B64" s="15" t="s">
        <v>366</v>
      </c>
      <c r="C64" s="15" t="s">
        <v>110</v>
      </c>
      <c r="D64" s="404">
        <v>0.03428240740740741</v>
      </c>
      <c r="G64" s="393"/>
      <c r="H64" s="352"/>
      <c r="I64" s="405"/>
      <c r="J64" s="405"/>
    </row>
    <row r="65" spans="1:10" ht="15">
      <c r="A65" s="313">
        <v>58</v>
      </c>
      <c r="B65" s="314" t="s">
        <v>191</v>
      </c>
      <c r="C65" s="314" t="s">
        <v>192</v>
      </c>
      <c r="D65" s="411">
        <v>0.0346412037037037</v>
      </c>
      <c r="E65" s="316">
        <v>3</v>
      </c>
      <c r="F65" s="316">
        <v>28</v>
      </c>
      <c r="G65" s="393">
        <v>0.040625</v>
      </c>
      <c r="H65" s="352">
        <f>+D65/G65</f>
        <v>0.8527065527065526</v>
      </c>
      <c r="I65" s="15">
        <v>59</v>
      </c>
      <c r="J65" s="393">
        <v>0.040879629629629634</v>
      </c>
    </row>
    <row r="66" spans="1:10" ht="15">
      <c r="A66" s="313">
        <v>59</v>
      </c>
      <c r="B66" s="314" t="s">
        <v>179</v>
      </c>
      <c r="C66" s="314" t="s">
        <v>180</v>
      </c>
      <c r="D66" s="411">
        <v>0.034652777777777775</v>
      </c>
      <c r="E66" s="316">
        <v>4</v>
      </c>
      <c r="F66" s="316">
        <v>27</v>
      </c>
      <c r="G66" s="393">
        <v>0.041493055555555554</v>
      </c>
      <c r="H66" s="352">
        <f>+D66/G66</f>
        <v>0.8351464435146443</v>
      </c>
      <c r="I66" s="15">
        <v>79</v>
      </c>
      <c r="J66" s="393">
        <v>0.04111111111111111</v>
      </c>
    </row>
    <row r="67" spans="1:10" ht="15">
      <c r="A67" s="317">
        <v>60</v>
      </c>
      <c r="B67" s="318" t="s">
        <v>218</v>
      </c>
      <c r="C67" s="318" t="s">
        <v>292</v>
      </c>
      <c r="D67" s="330">
        <v>0.034942129629629635</v>
      </c>
      <c r="E67" s="320">
        <v>2</v>
      </c>
      <c r="F67" s="320">
        <v>29</v>
      </c>
      <c r="G67" s="393">
        <v>0.04159722222222222</v>
      </c>
      <c r="H67" s="352">
        <f>+D67/G67</f>
        <v>0.8400111296605455</v>
      </c>
      <c r="I67" s="15">
        <v>74</v>
      </c>
      <c r="J67" s="393">
        <v>0.04137731481481482</v>
      </c>
    </row>
    <row r="68" spans="1:10" ht="16.5">
      <c r="A68" s="86">
        <v>61</v>
      </c>
      <c r="B68" s="15" t="s">
        <v>201</v>
      </c>
      <c r="C68" s="15" t="s">
        <v>463</v>
      </c>
      <c r="D68" s="404">
        <v>0.0350462962962963</v>
      </c>
      <c r="G68" s="393"/>
      <c r="H68" s="352"/>
      <c r="I68" s="405"/>
      <c r="J68" s="405"/>
    </row>
    <row r="69" spans="1:10" ht="15">
      <c r="A69" s="317">
        <v>62</v>
      </c>
      <c r="B69" s="318" t="s">
        <v>239</v>
      </c>
      <c r="C69" s="318" t="s">
        <v>240</v>
      </c>
      <c r="D69" s="330">
        <v>0.0350462962962963</v>
      </c>
      <c r="E69" s="320">
        <v>3</v>
      </c>
      <c r="F69" s="320">
        <v>28</v>
      </c>
      <c r="G69" s="393">
        <v>0.04163194444444445</v>
      </c>
      <c r="H69" s="352">
        <f>+D69/G69</f>
        <v>0.8418126216291353</v>
      </c>
      <c r="I69" s="15">
        <v>72</v>
      </c>
      <c r="J69" s="393">
        <v>0.04148148148148149</v>
      </c>
    </row>
    <row r="70" spans="1:10" ht="15">
      <c r="A70" s="317">
        <v>63</v>
      </c>
      <c r="B70" s="318" t="s">
        <v>234</v>
      </c>
      <c r="C70" s="318" t="s">
        <v>230</v>
      </c>
      <c r="D70" s="330">
        <v>0.03512731481481481</v>
      </c>
      <c r="E70" s="320">
        <v>4</v>
      </c>
      <c r="F70" s="320">
        <v>27</v>
      </c>
      <c r="G70" s="393">
        <v>0.04388888888888889</v>
      </c>
      <c r="H70" s="352">
        <f>+D70/G70</f>
        <v>0.8003691983122363</v>
      </c>
      <c r="I70" s="15">
        <v>97</v>
      </c>
      <c r="J70" s="393">
        <v>0.04293981481481481</v>
      </c>
    </row>
    <row r="71" spans="1:10" ht="16.5">
      <c r="A71" s="86">
        <v>64</v>
      </c>
      <c r="B71" s="15" t="s">
        <v>563</v>
      </c>
      <c r="C71" s="15" t="s">
        <v>560</v>
      </c>
      <c r="D71" s="404">
        <v>0.035289351851851856</v>
      </c>
      <c r="G71" s="393"/>
      <c r="H71" s="352"/>
      <c r="I71" s="405"/>
      <c r="J71" s="405"/>
    </row>
    <row r="72" spans="1:10" ht="15">
      <c r="A72" s="317">
        <v>65</v>
      </c>
      <c r="B72" s="318" t="s">
        <v>224</v>
      </c>
      <c r="C72" s="318" t="s">
        <v>263</v>
      </c>
      <c r="D72" s="330">
        <v>0.03550925925925926</v>
      </c>
      <c r="E72" s="320">
        <v>5</v>
      </c>
      <c r="F72" s="320">
        <v>26</v>
      </c>
      <c r="G72" s="393">
        <v>0.042199074074074076</v>
      </c>
      <c r="H72" s="352">
        <f>+D72/G72</f>
        <v>0.8414701042238069</v>
      </c>
      <c r="I72" s="15">
        <v>73</v>
      </c>
      <c r="J72" s="393">
        <v>0.04201388888888889</v>
      </c>
    </row>
    <row r="73" spans="1:10" ht="15">
      <c r="A73" s="313">
        <v>66</v>
      </c>
      <c r="B73" s="314" t="s">
        <v>31</v>
      </c>
      <c r="C73" s="314" t="s">
        <v>325</v>
      </c>
      <c r="D73" s="411">
        <v>0.03571759259259259</v>
      </c>
      <c r="E73" s="316">
        <v>5</v>
      </c>
      <c r="F73" s="316">
        <v>26</v>
      </c>
      <c r="G73" s="393">
        <v>0.041157407407407406</v>
      </c>
      <c r="H73" s="352">
        <f>+D73/G73</f>
        <v>0.8678290213723284</v>
      </c>
      <c r="I73" s="15">
        <v>47</v>
      </c>
      <c r="J73" s="393">
        <v>0.04179398148148148</v>
      </c>
    </row>
    <row r="74" spans="1:10" ht="15">
      <c r="A74" s="313">
        <v>67</v>
      </c>
      <c r="B74" s="314" t="s">
        <v>334</v>
      </c>
      <c r="C74" s="314" t="s">
        <v>335</v>
      </c>
      <c r="D74" s="411">
        <v>0.035902777777777777</v>
      </c>
      <c r="E74" s="316">
        <v>6</v>
      </c>
      <c r="F74" s="316">
        <v>25</v>
      </c>
      <c r="G74" s="393">
        <v>0.039942129629629626</v>
      </c>
      <c r="H74" s="352">
        <f>+D74/G74</f>
        <v>0.8988698927847001</v>
      </c>
      <c r="I74" s="15">
        <v>41</v>
      </c>
      <c r="J74" s="393">
        <v>0.040763888888888884</v>
      </c>
    </row>
    <row r="75" spans="1:10" ht="15">
      <c r="A75" s="317">
        <v>68</v>
      </c>
      <c r="B75" s="318" t="s">
        <v>392</v>
      </c>
      <c r="C75" s="318" t="s">
        <v>211</v>
      </c>
      <c r="D75" s="330">
        <v>0.03607638888888889</v>
      </c>
      <c r="E75" s="320">
        <v>6</v>
      </c>
      <c r="F75" s="320">
        <v>25</v>
      </c>
      <c r="G75" s="393">
        <v>0.04548611111111111</v>
      </c>
      <c r="H75" s="352">
        <f>+D75/G75</f>
        <v>0.7931297709923664</v>
      </c>
      <c r="I75" s="15">
        <v>98</v>
      </c>
      <c r="J75" s="393">
        <v>0.04451388888888889</v>
      </c>
    </row>
    <row r="76" spans="1:10" ht="16.5">
      <c r="A76" s="86">
        <v>69</v>
      </c>
      <c r="B76" s="15" t="s">
        <v>61</v>
      </c>
      <c r="C76" s="15" t="s">
        <v>560</v>
      </c>
      <c r="D76" s="404">
        <v>0.03633101851851852</v>
      </c>
      <c r="G76" s="393"/>
      <c r="H76" s="352"/>
      <c r="I76" s="405"/>
      <c r="J76" s="405"/>
    </row>
    <row r="77" spans="1:10" ht="15">
      <c r="A77" s="313">
        <v>70</v>
      </c>
      <c r="B77" s="314" t="s">
        <v>61</v>
      </c>
      <c r="C77" s="314" t="s">
        <v>254</v>
      </c>
      <c r="D77" s="411">
        <v>0.03652777777777778</v>
      </c>
      <c r="E77" s="316">
        <v>7</v>
      </c>
      <c r="F77" s="316">
        <v>24</v>
      </c>
      <c r="G77" s="393">
        <v>0.04027777777777778</v>
      </c>
      <c r="H77" s="352">
        <f>+D77/G77</f>
        <v>0.9068965517241379</v>
      </c>
      <c r="I77" s="15">
        <v>38</v>
      </c>
      <c r="J77" s="393">
        <v>0.041192129629629634</v>
      </c>
    </row>
    <row r="78" spans="1:10" ht="15">
      <c r="A78" s="317">
        <v>71</v>
      </c>
      <c r="B78" s="318" t="s">
        <v>265</v>
      </c>
      <c r="C78" s="318" t="s">
        <v>264</v>
      </c>
      <c r="D78" s="330">
        <v>0.03721064814814815</v>
      </c>
      <c r="E78" s="320">
        <v>7</v>
      </c>
      <c r="F78" s="320">
        <v>24</v>
      </c>
      <c r="G78" s="393">
        <v>0.043333333333333335</v>
      </c>
      <c r="H78" s="352">
        <f>+D78/G78</f>
        <v>0.858707264957265</v>
      </c>
      <c r="I78" s="15">
        <v>56</v>
      </c>
      <c r="J78" s="393">
        <v>0.043680555555555556</v>
      </c>
    </row>
    <row r="79" spans="1:10" ht="15">
      <c r="A79" s="317">
        <v>72</v>
      </c>
      <c r="B79" s="318" t="s">
        <v>507</v>
      </c>
      <c r="C79" s="318" t="s">
        <v>178</v>
      </c>
      <c r="D79" s="330">
        <v>0.03732638888888889</v>
      </c>
      <c r="E79" s="320">
        <v>8</v>
      </c>
      <c r="F79" s="320">
        <v>23</v>
      </c>
      <c r="G79" s="393">
        <v>0.04763888888888889</v>
      </c>
      <c r="H79" s="352">
        <f>+D79/G79</f>
        <v>0.7835276967930028</v>
      </c>
      <c r="I79" s="15">
        <v>100</v>
      </c>
      <c r="J79" s="393">
        <v>0.04659722222222222</v>
      </c>
    </row>
    <row r="80" spans="1:10" ht="15">
      <c r="A80" s="317">
        <v>73</v>
      </c>
      <c r="B80" s="318" t="s">
        <v>245</v>
      </c>
      <c r="C80" s="318" t="s">
        <v>244</v>
      </c>
      <c r="D80" s="330">
        <v>0.04006944444444444</v>
      </c>
      <c r="E80" s="320">
        <v>9</v>
      </c>
      <c r="F80" s="320">
        <v>22</v>
      </c>
      <c r="G80" s="393">
        <v>0.048576388888888884</v>
      </c>
      <c r="H80" s="352">
        <f>+D80/G80</f>
        <v>0.8248749106504647</v>
      </c>
      <c r="I80" s="15">
        <v>86</v>
      </c>
      <c r="J80" s="393">
        <v>0.04797453703703703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selection activeCell="H9" sqref="H9"/>
    </sheetView>
  </sheetViews>
  <sheetFormatPr defaultColWidth="9.140625" defaultRowHeight="15"/>
  <cols>
    <col min="1" max="1" width="8.8515625" style="230" customWidth="1"/>
    <col min="2" max="2" width="11.7109375" style="268" bestFit="1" customWidth="1"/>
    <col min="3" max="3" width="12.00390625" style="268" bestFit="1" customWidth="1"/>
    <col min="4" max="4" width="8.421875" style="268" bestFit="1" customWidth="1"/>
    <col min="5" max="5" width="8.28125" style="268" bestFit="1" customWidth="1"/>
    <col min="6" max="6" width="6.57421875" style="268" bestFit="1" customWidth="1"/>
    <col min="7" max="7" width="10.28125" style="268" bestFit="1" customWidth="1"/>
    <col min="8" max="8" width="12.7109375" style="268" bestFit="1" customWidth="1"/>
    <col min="9" max="9" width="9.57421875" style="268" bestFit="1" customWidth="1"/>
    <col min="10" max="10" width="10.28125" style="268" bestFit="1" customWidth="1"/>
    <col min="11" max="16384" width="9.140625" style="268" customWidth="1"/>
  </cols>
  <sheetData>
    <row r="1" spans="1:7" ht="18">
      <c r="A1" s="246" t="s">
        <v>587</v>
      </c>
      <c r="D1" s="379"/>
      <c r="G1" s="344"/>
    </row>
    <row r="2" spans="1:7" ht="18">
      <c r="A2" s="246"/>
      <c r="D2" s="379"/>
      <c r="G2" s="344"/>
    </row>
    <row r="3" spans="1:10" ht="15">
      <c r="A3" s="230"/>
      <c r="D3" s="379"/>
      <c r="G3" s="347" t="s">
        <v>578</v>
      </c>
      <c r="H3" s="346"/>
      <c r="I3" s="346"/>
      <c r="J3" s="347" t="s">
        <v>578</v>
      </c>
    </row>
    <row r="4" spans="1:10" s="251" customFormat="1" ht="18" customHeight="1">
      <c r="A4" s="247"/>
      <c r="B4" s="248"/>
      <c r="C4" s="247"/>
      <c r="D4" s="348"/>
      <c r="G4" s="347" t="s">
        <v>579</v>
      </c>
      <c r="H4" s="346"/>
      <c r="I4" s="346"/>
      <c r="J4" s="347" t="s">
        <v>579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s="15" customFormat="1" ht="15">
      <c r="A8" s="295">
        <v>1</v>
      </c>
      <c r="B8" s="296" t="s">
        <v>309</v>
      </c>
      <c r="C8" s="296" t="s">
        <v>308</v>
      </c>
      <c r="D8" s="394">
        <v>0.029988425925925922</v>
      </c>
      <c r="E8" s="298">
        <v>1</v>
      </c>
      <c r="F8" s="298">
        <v>30</v>
      </c>
      <c r="G8" s="393">
        <v>0.023807870370370368</v>
      </c>
      <c r="H8" s="352">
        <f aca="true" t="shared" si="0" ref="H8:H13">+D8/G8</f>
        <v>1.2596013612056391</v>
      </c>
      <c r="I8" s="15">
        <v>97</v>
      </c>
      <c r="J8" s="353">
        <v>0.022870370370370367</v>
      </c>
    </row>
    <row r="9" spans="1:10" s="15" customFormat="1" ht="15">
      <c r="A9" s="295">
        <v>2</v>
      </c>
      <c r="B9" s="296" t="s">
        <v>218</v>
      </c>
      <c r="C9" s="296" t="s">
        <v>30</v>
      </c>
      <c r="D9" s="394">
        <v>0.03037037037037037</v>
      </c>
      <c r="E9" s="298">
        <v>2</v>
      </c>
      <c r="F9" s="298">
        <v>29</v>
      </c>
      <c r="G9" s="393">
        <v>0.024050925925925924</v>
      </c>
      <c r="H9" s="352">
        <f t="shared" si="0"/>
        <v>1.262752646775746</v>
      </c>
      <c r="I9" s="15">
        <v>96</v>
      </c>
      <c r="J9" s="353">
        <v>0.023148148148148147</v>
      </c>
    </row>
    <row r="10" spans="1:10" s="15" customFormat="1" ht="15">
      <c r="A10" s="295">
        <v>3</v>
      </c>
      <c r="B10" s="296" t="s">
        <v>187</v>
      </c>
      <c r="C10" s="296" t="s">
        <v>553</v>
      </c>
      <c r="D10" s="394">
        <v>0.03130787037037037</v>
      </c>
      <c r="E10" s="298">
        <v>3</v>
      </c>
      <c r="F10" s="298">
        <v>28</v>
      </c>
      <c r="G10" s="393">
        <v>0.025694444444444447</v>
      </c>
      <c r="H10" s="352">
        <f t="shared" si="0"/>
        <v>1.2184684684684683</v>
      </c>
      <c r="I10" s="15">
        <v>100</v>
      </c>
      <c r="J10" s="353">
        <v>0.02465277777777778</v>
      </c>
    </row>
    <row r="11" spans="1:10" s="15" customFormat="1" ht="15">
      <c r="A11" s="295">
        <v>4</v>
      </c>
      <c r="B11" s="296" t="s">
        <v>31</v>
      </c>
      <c r="C11" s="296" t="s">
        <v>310</v>
      </c>
      <c r="D11" s="394">
        <v>0.031516203703703706</v>
      </c>
      <c r="E11" s="298">
        <v>4</v>
      </c>
      <c r="F11" s="298">
        <v>27</v>
      </c>
      <c r="G11" s="393">
        <v>0.02478009259259259</v>
      </c>
      <c r="H11" s="352">
        <f t="shared" si="0"/>
        <v>1.2718355908453995</v>
      </c>
      <c r="I11" s="15">
        <v>93</v>
      </c>
      <c r="J11" s="353">
        <v>0.02398148148148148</v>
      </c>
    </row>
    <row r="12" spans="1:10" s="15" customFormat="1" ht="15">
      <c r="A12" s="295">
        <v>5</v>
      </c>
      <c r="B12" s="296" t="s">
        <v>427</v>
      </c>
      <c r="C12" s="296" t="s">
        <v>426</v>
      </c>
      <c r="D12" s="394">
        <v>0.03153935185185185</v>
      </c>
      <c r="E12" s="298">
        <v>5</v>
      </c>
      <c r="F12" s="298">
        <v>26</v>
      </c>
      <c r="G12" s="393">
        <v>0.024305555555555556</v>
      </c>
      <c r="H12" s="352">
        <f t="shared" si="0"/>
        <v>1.2976190476190477</v>
      </c>
      <c r="I12" s="15">
        <v>82</v>
      </c>
      <c r="J12" s="353">
        <v>0.02388888888888889</v>
      </c>
    </row>
    <row r="13" spans="1:10" s="15" customFormat="1" ht="15">
      <c r="A13" s="295">
        <v>6</v>
      </c>
      <c r="B13" s="296" t="s">
        <v>48</v>
      </c>
      <c r="C13" s="296" t="s">
        <v>49</v>
      </c>
      <c r="D13" s="394">
        <v>0.032337962962962964</v>
      </c>
      <c r="E13" s="298">
        <v>6</v>
      </c>
      <c r="F13" s="298">
        <v>25</v>
      </c>
      <c r="G13" s="393">
        <v>0.02630787037037037</v>
      </c>
      <c r="H13" s="352">
        <f t="shared" si="0"/>
        <v>1.22921249450066</v>
      </c>
      <c r="I13" s="15">
        <v>99</v>
      </c>
      <c r="J13" s="353">
        <v>0.025300925925925925</v>
      </c>
    </row>
    <row r="14" spans="1:9" ht="15">
      <c r="A14" s="392">
        <v>7</v>
      </c>
      <c r="B14" s="391" t="s">
        <v>317</v>
      </c>
      <c r="C14" s="391" t="s">
        <v>428</v>
      </c>
      <c r="D14" s="393">
        <v>0.032581018518518516</v>
      </c>
      <c r="E14" s="231"/>
      <c r="F14" s="391"/>
      <c r="G14" s="393"/>
      <c r="H14" s="352"/>
      <c r="I14" s="83"/>
    </row>
    <row r="15" spans="1:10" s="15" customFormat="1" ht="15">
      <c r="A15" s="295">
        <v>8</v>
      </c>
      <c r="B15" s="296" t="s">
        <v>52</v>
      </c>
      <c r="C15" s="296" t="s">
        <v>274</v>
      </c>
      <c r="D15" s="394">
        <v>0.03269675925925926</v>
      </c>
      <c r="E15" s="298">
        <v>7</v>
      </c>
      <c r="F15" s="298">
        <v>24</v>
      </c>
      <c r="G15" s="393">
        <v>0.025555555555555554</v>
      </c>
      <c r="H15" s="352">
        <f aca="true" t="shared" si="1" ref="H15:H44">+D15/G15</f>
        <v>1.2794384057971016</v>
      </c>
      <c r="I15" s="15">
        <v>88</v>
      </c>
      <c r="J15" s="353">
        <v>0.024930555555555553</v>
      </c>
    </row>
    <row r="16" spans="1:10" s="15" customFormat="1" ht="15">
      <c r="A16" s="295">
        <v>9</v>
      </c>
      <c r="B16" s="296" t="s">
        <v>408</v>
      </c>
      <c r="C16" s="296" t="s">
        <v>420</v>
      </c>
      <c r="D16" s="394">
        <v>0.03512731481481481</v>
      </c>
      <c r="E16" s="298">
        <v>8</v>
      </c>
      <c r="F16" s="298">
        <v>23</v>
      </c>
      <c r="G16" s="393">
        <v>0.0265625</v>
      </c>
      <c r="H16" s="352">
        <f t="shared" si="1"/>
        <v>1.3224400871459694</v>
      </c>
      <c r="I16" s="15">
        <v>73</v>
      </c>
      <c r="J16" s="353">
        <v>0.026458333333333334</v>
      </c>
    </row>
    <row r="17" spans="1:10" s="15" customFormat="1" ht="15">
      <c r="A17" s="295">
        <v>10</v>
      </c>
      <c r="B17" s="296" t="s">
        <v>50</v>
      </c>
      <c r="C17" s="296" t="s">
        <v>51</v>
      </c>
      <c r="D17" s="394">
        <v>0.03518518518518519</v>
      </c>
      <c r="E17" s="298">
        <v>9</v>
      </c>
      <c r="F17" s="298">
        <v>22</v>
      </c>
      <c r="G17" s="393">
        <v>0.027083333333333334</v>
      </c>
      <c r="H17" s="352">
        <f t="shared" si="1"/>
        <v>1.2991452991452992</v>
      </c>
      <c r="I17" s="15">
        <v>81</v>
      </c>
      <c r="J17" s="353">
        <v>0.02670138888888889</v>
      </c>
    </row>
    <row r="18" spans="1:10" s="15" customFormat="1" ht="15">
      <c r="A18" s="303">
        <v>11</v>
      </c>
      <c r="B18" s="304" t="s">
        <v>63</v>
      </c>
      <c r="C18" s="304" t="s">
        <v>64</v>
      </c>
      <c r="D18" s="395">
        <v>0.03640046296296296</v>
      </c>
      <c r="E18" s="306">
        <v>1</v>
      </c>
      <c r="F18" s="306">
        <v>30</v>
      </c>
      <c r="G18" s="393">
        <v>0.02847222222222222</v>
      </c>
      <c r="H18" s="352">
        <f t="shared" si="1"/>
        <v>1.2784552845528454</v>
      </c>
      <c r="I18" s="15">
        <v>90</v>
      </c>
      <c r="J18" s="353">
        <v>0.027777777777777776</v>
      </c>
    </row>
    <row r="19" spans="1:10" s="15" customFormat="1" ht="15">
      <c r="A19" s="299">
        <v>12</v>
      </c>
      <c r="B19" s="300" t="s">
        <v>243</v>
      </c>
      <c r="C19" s="300" t="s">
        <v>275</v>
      </c>
      <c r="D19" s="396">
        <v>0.036770833333333336</v>
      </c>
      <c r="E19" s="302">
        <v>1</v>
      </c>
      <c r="F19" s="302">
        <v>30</v>
      </c>
      <c r="G19" s="393">
        <v>0.028287037037037038</v>
      </c>
      <c r="H19" s="352">
        <f t="shared" si="1"/>
        <v>1.2999181669394435</v>
      </c>
      <c r="I19" s="15">
        <v>80</v>
      </c>
      <c r="J19" s="353">
        <v>0.027939814814814817</v>
      </c>
    </row>
    <row r="20" spans="1:10" s="15" customFormat="1" ht="15">
      <c r="A20" s="295">
        <v>13</v>
      </c>
      <c r="B20" s="296" t="s">
        <v>59</v>
      </c>
      <c r="C20" s="296" t="s">
        <v>60</v>
      </c>
      <c r="D20" s="394">
        <v>0.03711805555555556</v>
      </c>
      <c r="E20" s="298">
        <v>10</v>
      </c>
      <c r="F20" s="298">
        <v>21</v>
      </c>
      <c r="G20" s="393">
        <v>0.027951388888888887</v>
      </c>
      <c r="H20" s="352">
        <f t="shared" si="1"/>
        <v>1.3279503105590063</v>
      </c>
      <c r="I20" s="15">
        <v>67</v>
      </c>
      <c r="J20" s="353">
        <v>0.028055555555555552</v>
      </c>
    </row>
    <row r="21" spans="1:10" s="15" customFormat="1" ht="15">
      <c r="A21" s="303">
        <v>14</v>
      </c>
      <c r="B21" s="304" t="s">
        <v>406</v>
      </c>
      <c r="C21" s="304" t="s">
        <v>582</v>
      </c>
      <c r="D21" s="395">
        <v>0.037974537037037036</v>
      </c>
      <c r="E21" s="306">
        <v>2</v>
      </c>
      <c r="F21" s="306">
        <v>29</v>
      </c>
      <c r="G21" s="393">
        <v>0.02847222222222222</v>
      </c>
      <c r="H21" s="352">
        <f t="shared" si="1"/>
        <v>1.333739837398374</v>
      </c>
      <c r="I21" s="15">
        <v>63</v>
      </c>
      <c r="J21" s="353">
        <v>0.028715277777777777</v>
      </c>
    </row>
    <row r="22" spans="1:10" s="15" customFormat="1" ht="15">
      <c r="A22" s="307">
        <v>15</v>
      </c>
      <c r="B22" s="308" t="s">
        <v>259</v>
      </c>
      <c r="C22" s="308" t="s">
        <v>256</v>
      </c>
      <c r="D22" s="397">
        <v>0.03858796296296297</v>
      </c>
      <c r="E22" s="310">
        <v>1</v>
      </c>
      <c r="F22" s="310">
        <v>30</v>
      </c>
      <c r="G22" s="393">
        <v>0.03002314814814815</v>
      </c>
      <c r="H22" s="352">
        <f t="shared" si="1"/>
        <v>1.2852737085582113</v>
      </c>
      <c r="I22" s="15">
        <v>86</v>
      </c>
      <c r="J22" s="353">
        <v>0.029467592592592594</v>
      </c>
    </row>
    <row r="23" spans="1:10" s="15" customFormat="1" ht="15">
      <c r="A23" s="299">
        <v>16</v>
      </c>
      <c r="B23" s="300" t="s">
        <v>321</v>
      </c>
      <c r="C23" s="300" t="s">
        <v>132</v>
      </c>
      <c r="D23" s="396">
        <v>0.039074074074074074</v>
      </c>
      <c r="E23" s="302">
        <v>2</v>
      </c>
      <c r="F23" s="302">
        <v>29</v>
      </c>
      <c r="G23" s="393">
        <v>0.030555555555555555</v>
      </c>
      <c r="H23" s="352">
        <f t="shared" si="1"/>
        <v>1.2787878787878788</v>
      </c>
      <c r="I23" s="15">
        <v>89</v>
      </c>
      <c r="J23" s="353">
        <v>0.029895833333333333</v>
      </c>
    </row>
    <row r="24" spans="1:10" s="15" customFormat="1" ht="15">
      <c r="A24" s="299">
        <v>17</v>
      </c>
      <c r="B24" s="300" t="s">
        <v>63</v>
      </c>
      <c r="C24" s="300" t="s">
        <v>110</v>
      </c>
      <c r="D24" s="396">
        <v>0.03957175925925926</v>
      </c>
      <c r="E24" s="302">
        <v>3</v>
      </c>
      <c r="F24" s="302">
        <v>28</v>
      </c>
      <c r="G24" s="393">
        <v>0.029849537037037036</v>
      </c>
      <c r="H24" s="352">
        <f t="shared" si="1"/>
        <v>1.32570763861962</v>
      </c>
      <c r="I24" s="15">
        <v>69</v>
      </c>
      <c r="J24" s="353">
        <v>0.029884259259259256</v>
      </c>
    </row>
    <row r="25" spans="1:10" s="15" customFormat="1" ht="15">
      <c r="A25" s="303">
        <v>18</v>
      </c>
      <c r="B25" s="304" t="s">
        <v>219</v>
      </c>
      <c r="C25" s="304" t="s">
        <v>388</v>
      </c>
      <c r="D25" s="395">
        <v>0.03967592592592593</v>
      </c>
      <c r="E25" s="306">
        <v>3</v>
      </c>
      <c r="F25" s="306">
        <v>28</v>
      </c>
      <c r="G25" s="393">
        <v>0.0284375</v>
      </c>
      <c r="H25" s="352">
        <f t="shared" si="1"/>
        <v>1.3951973951973953</v>
      </c>
      <c r="I25" s="15">
        <v>45</v>
      </c>
      <c r="J25" s="353">
        <v>0.029305555555555557</v>
      </c>
    </row>
    <row r="26" spans="1:10" s="15" customFormat="1" ht="15">
      <c r="A26" s="295">
        <v>19</v>
      </c>
      <c r="B26" s="296" t="s">
        <v>399</v>
      </c>
      <c r="C26" s="296" t="s">
        <v>400</v>
      </c>
      <c r="D26" s="394">
        <v>0.03967592592592593</v>
      </c>
      <c r="E26" s="298">
        <v>11</v>
      </c>
      <c r="F26" s="298">
        <v>20</v>
      </c>
      <c r="G26" s="393">
        <v>0.0265625</v>
      </c>
      <c r="H26" s="352">
        <f t="shared" si="1"/>
        <v>1.4936819172113291</v>
      </c>
      <c r="I26" s="15">
        <v>41</v>
      </c>
      <c r="J26" s="353">
        <v>0.027569444444444445</v>
      </c>
    </row>
    <row r="27" spans="1:10" s="15" customFormat="1" ht="15">
      <c r="A27" s="299">
        <v>20</v>
      </c>
      <c r="B27" s="300" t="s">
        <v>187</v>
      </c>
      <c r="C27" s="300" t="s">
        <v>88</v>
      </c>
      <c r="D27" s="396">
        <v>0.039942129629629626</v>
      </c>
      <c r="E27" s="302">
        <v>4</v>
      </c>
      <c r="F27" s="302">
        <v>27</v>
      </c>
      <c r="G27" s="393">
        <v>0.029768518518518517</v>
      </c>
      <c r="H27" s="352">
        <f t="shared" si="1"/>
        <v>1.3417573872472783</v>
      </c>
      <c r="I27" s="15">
        <v>59</v>
      </c>
      <c r="J27" s="353">
        <v>0.030150462962962962</v>
      </c>
    </row>
    <row r="28" spans="1:10" s="15" customFormat="1" ht="15">
      <c r="A28" s="299">
        <v>21</v>
      </c>
      <c r="B28" s="300" t="s">
        <v>115</v>
      </c>
      <c r="C28" s="300" t="s">
        <v>116</v>
      </c>
      <c r="D28" s="396">
        <v>0.04025462962962963</v>
      </c>
      <c r="E28" s="302">
        <v>5</v>
      </c>
      <c r="F28" s="302">
        <v>26</v>
      </c>
      <c r="G28" s="393">
        <v>0.03061342592592593</v>
      </c>
      <c r="H28" s="352">
        <f t="shared" si="1"/>
        <v>1.3149338374291115</v>
      </c>
      <c r="I28" s="15">
        <v>75</v>
      </c>
      <c r="J28" s="353">
        <v>0.03043981481481482</v>
      </c>
    </row>
    <row r="29" spans="1:10" s="15" customFormat="1" ht="15">
      <c r="A29" s="299">
        <v>22</v>
      </c>
      <c r="B29" s="300" t="s">
        <v>320</v>
      </c>
      <c r="C29" s="300" t="s">
        <v>310</v>
      </c>
      <c r="D29" s="396">
        <v>0.04028935185185185</v>
      </c>
      <c r="E29" s="302">
        <v>6</v>
      </c>
      <c r="F29" s="302">
        <v>25</v>
      </c>
      <c r="G29" s="393">
        <v>0.030752314814814816</v>
      </c>
      <c r="H29" s="352">
        <f t="shared" si="1"/>
        <v>1.3101242002258184</v>
      </c>
      <c r="I29" s="15">
        <v>78</v>
      </c>
      <c r="J29" s="353">
        <v>0.03047453703703704</v>
      </c>
    </row>
    <row r="30" spans="1:10" s="15" customFormat="1" ht="15">
      <c r="A30" s="303">
        <v>23</v>
      </c>
      <c r="B30" s="304" t="s">
        <v>460</v>
      </c>
      <c r="C30" s="304" t="s">
        <v>114</v>
      </c>
      <c r="D30" s="395">
        <v>0.04047453703703704</v>
      </c>
      <c r="E30" s="306">
        <v>4</v>
      </c>
      <c r="F30" s="306">
        <v>27</v>
      </c>
      <c r="G30" s="393">
        <v>0.02951388888888889</v>
      </c>
      <c r="H30" s="352">
        <f t="shared" si="1"/>
        <v>1.3713725490196078</v>
      </c>
      <c r="I30" s="15">
        <v>50</v>
      </c>
      <c r="J30" s="353">
        <v>0.030208333333333337</v>
      </c>
    </row>
    <row r="31" spans="1:10" s="15" customFormat="1" ht="15">
      <c r="A31" s="299">
        <v>24</v>
      </c>
      <c r="B31" s="300" t="s">
        <v>353</v>
      </c>
      <c r="C31" s="300" t="s">
        <v>95</v>
      </c>
      <c r="D31" s="396">
        <v>0.04065972222222222</v>
      </c>
      <c r="E31" s="302">
        <v>7</v>
      </c>
      <c r="F31" s="302">
        <v>24</v>
      </c>
      <c r="G31" s="393">
        <v>0.031504629629629625</v>
      </c>
      <c r="H31" s="352">
        <f t="shared" si="1"/>
        <v>1.290595150624541</v>
      </c>
      <c r="I31" s="15">
        <v>85</v>
      </c>
      <c r="J31" s="353">
        <v>0.03098379629629629</v>
      </c>
    </row>
    <row r="32" spans="1:10" s="15" customFormat="1" ht="15">
      <c r="A32" s="303">
        <v>25</v>
      </c>
      <c r="B32" s="304" t="s">
        <v>69</v>
      </c>
      <c r="C32" s="304" t="s">
        <v>70</v>
      </c>
      <c r="D32" s="395">
        <v>0.04075231481481481</v>
      </c>
      <c r="E32" s="306">
        <v>5</v>
      </c>
      <c r="F32" s="306">
        <v>26</v>
      </c>
      <c r="G32" s="393">
        <v>0.029166666666666664</v>
      </c>
      <c r="H32" s="352">
        <f t="shared" si="1"/>
        <v>1.3972222222222221</v>
      </c>
      <c r="I32" s="15">
        <v>44</v>
      </c>
      <c r="J32" s="353">
        <v>0.03006944444444444</v>
      </c>
    </row>
    <row r="33" spans="1:10" s="15" customFormat="1" ht="15">
      <c r="A33" s="307">
        <v>26</v>
      </c>
      <c r="B33" s="308" t="s">
        <v>276</v>
      </c>
      <c r="C33" s="308" t="s">
        <v>38</v>
      </c>
      <c r="D33" s="397">
        <v>0.04092592592592593</v>
      </c>
      <c r="E33" s="310">
        <v>2</v>
      </c>
      <c r="F33" s="310">
        <v>29</v>
      </c>
      <c r="G33" s="393">
        <v>0.03162037037037037</v>
      </c>
      <c r="H33" s="352">
        <f t="shared" si="1"/>
        <v>1.2942898975109811</v>
      </c>
      <c r="I33" s="15">
        <v>84</v>
      </c>
      <c r="J33" s="353">
        <v>0.031134259259259257</v>
      </c>
    </row>
    <row r="34" spans="1:10" s="15" customFormat="1" ht="15">
      <c r="A34" s="299">
        <v>27</v>
      </c>
      <c r="B34" s="300" t="s">
        <v>235</v>
      </c>
      <c r="C34" s="300" t="s">
        <v>236</v>
      </c>
      <c r="D34" s="396">
        <v>0.0409375</v>
      </c>
      <c r="E34" s="302">
        <v>8</v>
      </c>
      <c r="F34" s="302">
        <v>23</v>
      </c>
      <c r="G34" s="393">
        <v>0.030625</v>
      </c>
      <c r="H34" s="352">
        <f t="shared" si="1"/>
        <v>1.336734693877551</v>
      </c>
      <c r="I34" s="15">
        <v>62</v>
      </c>
      <c r="J34" s="353">
        <v>0.030902777777777776</v>
      </c>
    </row>
    <row r="35" spans="1:10" s="15" customFormat="1" ht="15">
      <c r="A35" s="299">
        <v>28</v>
      </c>
      <c r="B35" s="300" t="s">
        <v>220</v>
      </c>
      <c r="C35" s="300" t="s">
        <v>354</v>
      </c>
      <c r="D35" s="396">
        <v>0.0415625</v>
      </c>
      <c r="E35" s="302">
        <v>9</v>
      </c>
      <c r="F35" s="302">
        <v>22</v>
      </c>
      <c r="G35" s="393">
        <v>0.03108796296296296</v>
      </c>
      <c r="H35" s="352">
        <f t="shared" si="1"/>
        <v>1.336932241250931</v>
      </c>
      <c r="I35" s="15">
        <v>61</v>
      </c>
      <c r="J35" s="353">
        <v>0.031400462962962956</v>
      </c>
    </row>
    <row r="36" spans="1:10" s="15" customFormat="1" ht="15">
      <c r="A36" s="307">
        <v>29</v>
      </c>
      <c r="B36" s="308" t="s">
        <v>189</v>
      </c>
      <c r="C36" s="308" t="s">
        <v>162</v>
      </c>
      <c r="D36" s="397">
        <v>0.04190972222222222</v>
      </c>
      <c r="E36" s="310">
        <v>3</v>
      </c>
      <c r="F36" s="310">
        <v>28</v>
      </c>
      <c r="G36" s="393">
        <v>0.031608796296296295</v>
      </c>
      <c r="H36" s="352">
        <f t="shared" si="1"/>
        <v>1.3258879531307215</v>
      </c>
      <c r="I36" s="15">
        <v>68</v>
      </c>
      <c r="J36" s="353">
        <v>0.031678240740740736</v>
      </c>
    </row>
    <row r="37" spans="1:10" s="15" customFormat="1" ht="15">
      <c r="A37" s="307">
        <v>30</v>
      </c>
      <c r="B37" s="308" t="s">
        <v>314</v>
      </c>
      <c r="C37" s="308" t="s">
        <v>238</v>
      </c>
      <c r="D37" s="397">
        <v>0.04241898148148148</v>
      </c>
      <c r="E37" s="310">
        <v>4</v>
      </c>
      <c r="F37" s="310">
        <v>27</v>
      </c>
      <c r="G37" s="393">
        <v>0.031875</v>
      </c>
      <c r="H37" s="352">
        <f t="shared" si="1"/>
        <v>1.3307915758896152</v>
      </c>
      <c r="I37" s="15">
        <v>66</v>
      </c>
      <c r="J37" s="353">
        <v>0.03201388888888889</v>
      </c>
    </row>
    <row r="38" spans="1:10" s="15" customFormat="1" ht="15">
      <c r="A38" s="307">
        <v>31</v>
      </c>
      <c r="B38" s="308" t="s">
        <v>219</v>
      </c>
      <c r="C38" s="308" t="s">
        <v>556</v>
      </c>
      <c r="D38" s="397">
        <v>0.04299768518518519</v>
      </c>
      <c r="E38" s="310">
        <v>5</v>
      </c>
      <c r="F38" s="310">
        <v>26</v>
      </c>
      <c r="G38" s="393">
        <v>0.03259259259259259</v>
      </c>
      <c r="H38" s="352">
        <f t="shared" si="1"/>
        <v>1.3192471590909092</v>
      </c>
      <c r="I38" s="15">
        <v>74</v>
      </c>
      <c r="J38" s="353">
        <v>0.0324537037037037</v>
      </c>
    </row>
    <row r="39" spans="1:10" s="15" customFormat="1" ht="15">
      <c r="A39" s="299">
        <v>32</v>
      </c>
      <c r="B39" s="300" t="s">
        <v>342</v>
      </c>
      <c r="C39" s="300" t="s">
        <v>341</v>
      </c>
      <c r="D39" s="396">
        <v>0.04348379629629629</v>
      </c>
      <c r="E39" s="302">
        <v>10</v>
      </c>
      <c r="F39" s="302">
        <v>21</v>
      </c>
      <c r="G39" s="393">
        <v>0.03210648148148148</v>
      </c>
      <c r="H39" s="352">
        <f t="shared" si="1"/>
        <v>1.3543619322278297</v>
      </c>
      <c r="I39" s="15">
        <v>54</v>
      </c>
      <c r="J39" s="353">
        <v>0.03266203703703703</v>
      </c>
    </row>
    <row r="40" spans="1:10" s="15" customFormat="1" ht="15">
      <c r="A40" s="299">
        <v>33</v>
      </c>
      <c r="B40" s="300" t="s">
        <v>117</v>
      </c>
      <c r="C40" s="300" t="s">
        <v>118</v>
      </c>
      <c r="D40" s="396">
        <v>0.04351851851851852</v>
      </c>
      <c r="E40" s="302">
        <v>11</v>
      </c>
      <c r="F40" s="302">
        <v>20</v>
      </c>
      <c r="G40" s="393">
        <v>0.03234953703703704</v>
      </c>
      <c r="H40" s="352">
        <f t="shared" si="1"/>
        <v>1.3452593917710196</v>
      </c>
      <c r="I40" s="15">
        <v>58</v>
      </c>
      <c r="J40" s="353">
        <v>0.03276620370370371</v>
      </c>
    </row>
    <row r="41" spans="1:10" s="15" customFormat="1" ht="15">
      <c r="A41" s="307">
        <v>34</v>
      </c>
      <c r="B41" s="308" t="s">
        <v>103</v>
      </c>
      <c r="C41" s="308" t="s">
        <v>104</v>
      </c>
      <c r="D41" s="397">
        <v>0.04400462962962962</v>
      </c>
      <c r="E41" s="310">
        <v>6</v>
      </c>
      <c r="F41" s="310">
        <v>25</v>
      </c>
      <c r="G41" s="393">
        <v>0.03302083333333333</v>
      </c>
      <c r="H41" s="352">
        <f t="shared" si="1"/>
        <v>1.332632316859446</v>
      </c>
      <c r="I41" s="15">
        <v>64</v>
      </c>
      <c r="J41" s="353">
        <v>0.033229166666666664</v>
      </c>
    </row>
    <row r="42" spans="1:10" s="15" customFormat="1" ht="15">
      <c r="A42" s="307">
        <v>35</v>
      </c>
      <c r="B42" s="308" t="s">
        <v>218</v>
      </c>
      <c r="C42" s="308" t="s">
        <v>393</v>
      </c>
      <c r="D42" s="397">
        <v>0.044097222222222225</v>
      </c>
      <c r="E42" s="310">
        <v>7</v>
      </c>
      <c r="F42" s="310">
        <v>24</v>
      </c>
      <c r="G42" s="393">
        <v>0.03467592592592592</v>
      </c>
      <c r="H42" s="352">
        <f t="shared" si="1"/>
        <v>1.2716955941255008</v>
      </c>
      <c r="I42" s="15">
        <v>94</v>
      </c>
      <c r="J42" s="353">
        <v>0.03384259259259259</v>
      </c>
    </row>
    <row r="43" spans="1:10" s="15" customFormat="1" ht="15">
      <c r="A43" s="256">
        <v>36</v>
      </c>
      <c r="B43" s="257" t="s">
        <v>468</v>
      </c>
      <c r="C43" s="257" t="s">
        <v>359</v>
      </c>
      <c r="D43" s="398">
        <v>0.044409722222222225</v>
      </c>
      <c r="E43" s="312">
        <v>1</v>
      </c>
      <c r="F43" s="312">
        <v>30</v>
      </c>
      <c r="G43" s="393">
        <v>0.0349537037037037</v>
      </c>
      <c r="H43" s="352">
        <f t="shared" si="1"/>
        <v>1.2705298013245034</v>
      </c>
      <c r="I43" s="15">
        <v>95</v>
      </c>
      <c r="J43" s="353">
        <v>0.03408564814814815</v>
      </c>
    </row>
    <row r="44" spans="1:10" s="15" customFormat="1" ht="15">
      <c r="A44" s="307">
        <v>37</v>
      </c>
      <c r="B44" s="308" t="s">
        <v>223</v>
      </c>
      <c r="C44" s="308" t="s">
        <v>114</v>
      </c>
      <c r="D44" s="397">
        <v>0.04532407407407407</v>
      </c>
      <c r="E44" s="310">
        <v>8</v>
      </c>
      <c r="F44" s="310">
        <v>23</v>
      </c>
      <c r="G44" s="393">
        <v>0.03298611111111111</v>
      </c>
      <c r="H44" s="352">
        <f t="shared" si="1"/>
        <v>1.3740350877192982</v>
      </c>
      <c r="I44" s="15">
        <v>49</v>
      </c>
      <c r="J44" s="353">
        <v>0.03371527777777778</v>
      </c>
    </row>
    <row r="45" spans="1:9" ht="15">
      <c r="A45" s="392">
        <v>38</v>
      </c>
      <c r="B45" s="391" t="s">
        <v>442</v>
      </c>
      <c r="C45" s="391" t="s">
        <v>443</v>
      </c>
      <c r="D45" s="393">
        <v>0.04545138888888889</v>
      </c>
      <c r="E45" s="231"/>
      <c r="F45" s="391"/>
      <c r="G45" s="393"/>
      <c r="H45" s="352"/>
      <c r="I45" s="83"/>
    </row>
    <row r="46" spans="1:10" s="15" customFormat="1" ht="15">
      <c r="A46" s="256">
        <v>39</v>
      </c>
      <c r="B46" s="257" t="s">
        <v>139</v>
      </c>
      <c r="C46" s="257" t="s">
        <v>140</v>
      </c>
      <c r="D46" s="398">
        <v>0.04574074074074074</v>
      </c>
      <c r="E46" s="312">
        <v>2</v>
      </c>
      <c r="F46" s="312">
        <v>29</v>
      </c>
      <c r="G46" s="393">
        <v>0.034895833333333334</v>
      </c>
      <c r="H46" s="352">
        <f aca="true" t="shared" si="2" ref="H46:H60">+D46/G46</f>
        <v>1.3107794361525704</v>
      </c>
      <c r="I46" s="15">
        <v>76</v>
      </c>
      <c r="J46" s="353">
        <v>0.0346875</v>
      </c>
    </row>
    <row r="47" spans="1:10" s="15" customFormat="1" ht="15">
      <c r="A47" s="256">
        <v>40</v>
      </c>
      <c r="B47" s="257" t="s">
        <v>317</v>
      </c>
      <c r="C47" s="257" t="s">
        <v>116</v>
      </c>
      <c r="D47" s="398">
        <v>0.046655092592592595</v>
      </c>
      <c r="E47" s="312">
        <v>3</v>
      </c>
      <c r="F47" s="312">
        <v>28</v>
      </c>
      <c r="G47" s="393">
        <v>0.03525462962962963</v>
      </c>
      <c r="H47" s="352">
        <f t="shared" si="2"/>
        <v>1.323374917925148</v>
      </c>
      <c r="I47" s="15">
        <v>71</v>
      </c>
      <c r="J47" s="353">
        <v>0.03521990740740741</v>
      </c>
    </row>
    <row r="48" spans="1:10" s="15" customFormat="1" ht="15">
      <c r="A48" s="307">
        <v>41</v>
      </c>
      <c r="B48" s="308" t="s">
        <v>305</v>
      </c>
      <c r="C48" s="308" t="s">
        <v>306</v>
      </c>
      <c r="D48" s="397">
        <v>0.046875</v>
      </c>
      <c r="E48" s="310">
        <v>9</v>
      </c>
      <c r="F48" s="310">
        <v>22</v>
      </c>
      <c r="G48" s="393">
        <v>0.03400462962962963</v>
      </c>
      <c r="H48" s="352">
        <f t="shared" si="2"/>
        <v>1.378488767869299</v>
      </c>
      <c r="I48" s="15">
        <v>48</v>
      </c>
      <c r="J48" s="353">
        <v>0.03476851851851852</v>
      </c>
    </row>
    <row r="49" spans="1:10" s="15" customFormat="1" ht="15">
      <c r="A49" s="307">
        <v>42</v>
      </c>
      <c r="B49" s="308" t="s">
        <v>414</v>
      </c>
      <c r="C49" s="308" t="s">
        <v>415</v>
      </c>
      <c r="D49" s="397">
        <v>0.04819444444444445</v>
      </c>
      <c r="E49" s="310">
        <v>10</v>
      </c>
      <c r="F49" s="310">
        <v>21</v>
      </c>
      <c r="G49" s="393">
        <v>0.034722222222222224</v>
      </c>
      <c r="H49" s="352">
        <f t="shared" si="2"/>
        <v>1.3880000000000001</v>
      </c>
      <c r="I49" s="15">
        <v>46</v>
      </c>
      <c r="J49" s="353">
        <v>0.035555555555555556</v>
      </c>
    </row>
    <row r="50" spans="1:10" s="15" customFormat="1" ht="15">
      <c r="A50" s="256">
        <v>43</v>
      </c>
      <c r="B50" s="257" t="s">
        <v>187</v>
      </c>
      <c r="C50" s="257" t="s">
        <v>374</v>
      </c>
      <c r="D50" s="398">
        <v>0.04833333333333333</v>
      </c>
      <c r="E50" s="312">
        <v>4</v>
      </c>
      <c r="F50" s="312">
        <v>27</v>
      </c>
      <c r="G50" s="393">
        <v>0.035925925925925924</v>
      </c>
      <c r="H50" s="352">
        <f t="shared" si="2"/>
        <v>1.3453608247422681</v>
      </c>
      <c r="I50" s="15">
        <v>57</v>
      </c>
      <c r="J50" s="353">
        <v>0.036377314814814814</v>
      </c>
    </row>
    <row r="51" spans="1:10" s="15" customFormat="1" ht="15">
      <c r="A51" s="256">
        <v>44</v>
      </c>
      <c r="B51" s="257" t="s">
        <v>103</v>
      </c>
      <c r="C51" s="257" t="s">
        <v>151</v>
      </c>
      <c r="D51" s="398">
        <v>0.04954861111111111</v>
      </c>
      <c r="E51" s="312">
        <v>5</v>
      </c>
      <c r="F51" s="312">
        <v>26</v>
      </c>
      <c r="G51" s="393">
        <v>0.036423611111111115</v>
      </c>
      <c r="H51" s="352">
        <f t="shared" si="2"/>
        <v>1.3603431839847473</v>
      </c>
      <c r="I51" s="15">
        <v>52</v>
      </c>
      <c r="J51" s="353">
        <v>0.037048611111111115</v>
      </c>
    </row>
    <row r="52" spans="1:10" s="15" customFormat="1" ht="15">
      <c r="A52" s="313">
        <v>45</v>
      </c>
      <c r="B52" s="314" t="s">
        <v>186</v>
      </c>
      <c r="C52" s="314" t="s">
        <v>163</v>
      </c>
      <c r="D52" s="399">
        <v>0.049826388888888885</v>
      </c>
      <c r="E52" s="316">
        <v>1</v>
      </c>
      <c r="F52" s="316">
        <v>30</v>
      </c>
      <c r="G52" s="393">
        <v>0.037627314814814815</v>
      </c>
      <c r="H52" s="352">
        <f t="shared" si="2"/>
        <v>1.3242079360196861</v>
      </c>
      <c r="I52" s="15">
        <v>70</v>
      </c>
      <c r="J52" s="353">
        <v>0.037627314814814815</v>
      </c>
    </row>
    <row r="53" spans="1:10" s="15" customFormat="1" ht="15">
      <c r="A53" s="256">
        <v>46</v>
      </c>
      <c r="B53" s="257" t="s">
        <v>96</v>
      </c>
      <c r="C53" s="257" t="s">
        <v>296</v>
      </c>
      <c r="D53" s="398">
        <v>0.049895833333333334</v>
      </c>
      <c r="E53" s="312">
        <v>6</v>
      </c>
      <c r="F53" s="312">
        <v>25</v>
      </c>
      <c r="G53" s="393">
        <v>0.03806712962962963</v>
      </c>
      <c r="H53" s="352">
        <f t="shared" si="2"/>
        <v>1.3107327455153541</v>
      </c>
      <c r="I53" s="15">
        <v>77</v>
      </c>
      <c r="J53" s="353">
        <v>0.03782407407407407</v>
      </c>
    </row>
    <row r="54" spans="1:10" s="15" customFormat="1" ht="15">
      <c r="A54" s="256">
        <v>47</v>
      </c>
      <c r="B54" s="257" t="s">
        <v>73</v>
      </c>
      <c r="C54" s="257" t="s">
        <v>143</v>
      </c>
      <c r="D54" s="398">
        <v>0.050277777777777775</v>
      </c>
      <c r="E54" s="312">
        <v>7</v>
      </c>
      <c r="F54" s="312">
        <v>24</v>
      </c>
      <c r="G54" s="393">
        <v>0.034722222222222224</v>
      </c>
      <c r="H54" s="352">
        <f t="shared" si="2"/>
        <v>1.448</v>
      </c>
      <c r="I54" s="15">
        <v>43</v>
      </c>
      <c r="J54" s="353">
        <v>0.035659722222222225</v>
      </c>
    </row>
    <row r="55" spans="1:10" s="15" customFormat="1" ht="15">
      <c r="A55" s="313">
        <v>48</v>
      </c>
      <c r="B55" s="314" t="s">
        <v>332</v>
      </c>
      <c r="C55" s="314" t="s">
        <v>333</v>
      </c>
      <c r="D55" s="399">
        <v>0.05002314814814815</v>
      </c>
      <c r="E55" s="316">
        <v>2</v>
      </c>
      <c r="F55" s="316">
        <v>29</v>
      </c>
      <c r="G55" s="393">
        <v>0.03857638888888889</v>
      </c>
      <c r="H55" s="352">
        <f t="shared" si="2"/>
        <v>1.2967296729672968</v>
      </c>
      <c r="I55" s="15">
        <v>83</v>
      </c>
      <c r="J55" s="353">
        <v>0.038125</v>
      </c>
    </row>
    <row r="56" spans="1:10" s="15" customFormat="1" ht="15">
      <c r="A56" s="313">
        <v>49</v>
      </c>
      <c r="B56" s="314" t="s">
        <v>225</v>
      </c>
      <c r="C56" s="314" t="s">
        <v>174</v>
      </c>
      <c r="D56" s="399">
        <v>0.050914351851851856</v>
      </c>
      <c r="E56" s="316">
        <v>3</v>
      </c>
      <c r="F56" s="316">
        <v>28</v>
      </c>
      <c r="G56" s="393">
        <v>0.03995370370370371</v>
      </c>
      <c r="H56" s="352">
        <f t="shared" si="2"/>
        <v>1.2743337195828506</v>
      </c>
      <c r="I56" s="15">
        <v>92</v>
      </c>
      <c r="J56" s="353">
        <v>0.039189814814814816</v>
      </c>
    </row>
    <row r="57" spans="1:10" s="15" customFormat="1" ht="15">
      <c r="A57" s="313">
        <v>50</v>
      </c>
      <c r="B57" s="314" t="s">
        <v>334</v>
      </c>
      <c r="C57" s="314" t="s">
        <v>335</v>
      </c>
      <c r="D57" s="399">
        <v>0.05201388888888889</v>
      </c>
      <c r="E57" s="316">
        <v>4</v>
      </c>
      <c r="F57" s="316">
        <v>27</v>
      </c>
      <c r="G57" s="393">
        <v>0.040532407407407406</v>
      </c>
      <c r="H57" s="352">
        <f t="shared" si="2"/>
        <v>1.2832667047401485</v>
      </c>
      <c r="I57" s="15">
        <v>87</v>
      </c>
      <c r="J57" s="353">
        <v>0.039942129629629626</v>
      </c>
    </row>
    <row r="58" spans="1:10" s="15" customFormat="1" ht="15">
      <c r="A58" s="303">
        <v>51</v>
      </c>
      <c r="B58" s="304" t="s">
        <v>31</v>
      </c>
      <c r="C58" s="304" t="s">
        <v>75</v>
      </c>
      <c r="D58" s="395">
        <v>0.05401620370370371</v>
      </c>
      <c r="E58" s="306">
        <v>6</v>
      </c>
      <c r="F58" s="306">
        <v>25</v>
      </c>
      <c r="G58" s="393">
        <v>0.03369212962962963</v>
      </c>
      <c r="H58" s="352">
        <f t="shared" si="2"/>
        <v>1.6032291308828586</v>
      </c>
      <c r="I58" s="15">
        <v>40</v>
      </c>
      <c r="J58" s="353">
        <v>0.0347337962962963</v>
      </c>
    </row>
    <row r="59" spans="1:10" s="15" customFormat="1" ht="15">
      <c r="A59" s="313">
        <v>52</v>
      </c>
      <c r="B59" s="314" t="s">
        <v>237</v>
      </c>
      <c r="C59" s="314" t="s">
        <v>271</v>
      </c>
      <c r="D59" s="399">
        <v>0.05409722222222222</v>
      </c>
      <c r="E59" s="316">
        <v>5</v>
      </c>
      <c r="F59" s="316">
        <v>26</v>
      </c>
      <c r="G59" s="393">
        <v>0.040358796296296295</v>
      </c>
      <c r="H59" s="352">
        <f t="shared" si="2"/>
        <v>1.340407226842558</v>
      </c>
      <c r="I59" s="15">
        <v>60</v>
      </c>
      <c r="J59" s="353">
        <v>0.040706018518518516</v>
      </c>
    </row>
    <row r="60" spans="1:10" s="15" customFormat="1" ht="15">
      <c r="A60" s="317">
        <v>53</v>
      </c>
      <c r="B60" s="318" t="s">
        <v>239</v>
      </c>
      <c r="C60" s="318" t="s">
        <v>240</v>
      </c>
      <c r="D60" s="319">
        <v>0.05413194444444444</v>
      </c>
      <c r="E60" s="320">
        <v>1</v>
      </c>
      <c r="F60" s="320">
        <v>30</v>
      </c>
      <c r="G60" s="393">
        <v>0.042361111111111106</v>
      </c>
      <c r="H60" s="352">
        <f t="shared" si="2"/>
        <v>1.2778688524590165</v>
      </c>
      <c r="I60" s="15">
        <v>91</v>
      </c>
      <c r="J60" s="353">
        <v>0.04163194444444444</v>
      </c>
    </row>
    <row r="61" spans="1:9" ht="15">
      <c r="A61" s="392">
        <v>54</v>
      </c>
      <c r="B61" s="391" t="s">
        <v>416</v>
      </c>
      <c r="C61" s="391" t="s">
        <v>583</v>
      </c>
      <c r="D61" s="393">
        <v>0.05454861111111111</v>
      </c>
      <c r="E61" s="231"/>
      <c r="F61" s="391"/>
      <c r="G61" s="393"/>
      <c r="H61" s="352"/>
      <c r="I61" s="83"/>
    </row>
    <row r="62" spans="1:10" s="15" customFormat="1" ht="15">
      <c r="A62" s="317">
        <v>55</v>
      </c>
      <c r="B62" s="318" t="s">
        <v>189</v>
      </c>
      <c r="C62" s="318" t="s">
        <v>135</v>
      </c>
      <c r="D62" s="319">
        <v>0.05478009259259259</v>
      </c>
      <c r="E62" s="320">
        <v>2</v>
      </c>
      <c r="F62" s="320">
        <v>29</v>
      </c>
      <c r="G62" s="393">
        <v>0.04045138888888889</v>
      </c>
      <c r="H62" s="352">
        <f aca="true" t="shared" si="3" ref="H62:H67">+D62/G62</f>
        <v>1.354220314735336</v>
      </c>
      <c r="I62" s="15">
        <v>55</v>
      </c>
      <c r="J62" s="353">
        <v>0.04097222222222222</v>
      </c>
    </row>
    <row r="63" spans="1:10" s="15" customFormat="1" ht="15">
      <c r="A63" s="313">
        <v>56</v>
      </c>
      <c r="B63" s="314" t="s">
        <v>584</v>
      </c>
      <c r="C63" s="314" t="s">
        <v>341</v>
      </c>
      <c r="D63" s="399">
        <v>0.05478009259259259</v>
      </c>
      <c r="E63" s="316">
        <v>6</v>
      </c>
      <c r="F63" s="316">
        <v>25</v>
      </c>
      <c r="G63" s="393">
        <v>0.03967592592592593</v>
      </c>
      <c r="H63" s="352">
        <f t="shared" si="3"/>
        <v>1.380688448074679</v>
      </c>
      <c r="I63" s="15">
        <v>47</v>
      </c>
      <c r="J63" s="353">
        <v>0.04047453703703704</v>
      </c>
    </row>
    <row r="64" spans="1:10" s="15" customFormat="1" ht="15">
      <c r="A64" s="317">
        <v>57</v>
      </c>
      <c r="B64" s="318" t="s">
        <v>233</v>
      </c>
      <c r="C64" s="318" t="s">
        <v>212</v>
      </c>
      <c r="D64" s="319">
        <v>0.057129629629629634</v>
      </c>
      <c r="E64" s="320">
        <v>3</v>
      </c>
      <c r="F64" s="320">
        <v>28</v>
      </c>
      <c r="G64" s="393">
        <v>0.04370370370370371</v>
      </c>
      <c r="H64" s="352">
        <f t="shared" si="3"/>
        <v>1.3072033898305084</v>
      </c>
      <c r="I64" s="15">
        <v>79</v>
      </c>
      <c r="J64" s="353">
        <v>0.04339120370370371</v>
      </c>
    </row>
    <row r="65" spans="1:10" s="15" customFormat="1" ht="15">
      <c r="A65" s="317">
        <v>58</v>
      </c>
      <c r="B65" s="318" t="s">
        <v>381</v>
      </c>
      <c r="C65" s="318" t="s">
        <v>200</v>
      </c>
      <c r="D65" s="319">
        <v>0.05804398148148148</v>
      </c>
      <c r="E65" s="320">
        <v>4</v>
      </c>
      <c r="F65" s="320">
        <v>27</v>
      </c>
      <c r="G65" s="393">
        <v>0.042361111111111106</v>
      </c>
      <c r="H65" s="352">
        <f t="shared" si="3"/>
        <v>1.3702185792349728</v>
      </c>
      <c r="I65" s="15">
        <v>51</v>
      </c>
      <c r="J65" s="353">
        <v>0.04302083333333333</v>
      </c>
    </row>
    <row r="66" spans="1:10" s="15" customFormat="1" ht="15">
      <c r="A66" s="317">
        <v>59</v>
      </c>
      <c r="B66" s="318" t="s">
        <v>390</v>
      </c>
      <c r="C66" s="318" t="s">
        <v>207</v>
      </c>
      <c r="D66" s="319">
        <v>0.058611111111111114</v>
      </c>
      <c r="E66" s="320">
        <v>5</v>
      </c>
      <c r="F66" s="320">
        <v>26</v>
      </c>
      <c r="G66" s="393">
        <v>0.04402777777777778</v>
      </c>
      <c r="H66" s="352">
        <f t="shared" si="3"/>
        <v>1.331230283911672</v>
      </c>
      <c r="I66" s="15">
        <v>65</v>
      </c>
      <c r="J66" s="353">
        <v>0.04420138888888889</v>
      </c>
    </row>
    <row r="67" spans="1:10" s="15" customFormat="1" ht="15">
      <c r="A67" s="317">
        <v>60</v>
      </c>
      <c r="B67" s="318" t="s">
        <v>234</v>
      </c>
      <c r="C67" s="318" t="s">
        <v>230</v>
      </c>
      <c r="D67" s="319">
        <v>0.058784722222222224</v>
      </c>
      <c r="E67" s="320">
        <v>6</v>
      </c>
      <c r="F67" s="320">
        <v>25</v>
      </c>
      <c r="G67" s="393">
        <v>0.04329861111111111</v>
      </c>
      <c r="H67" s="352">
        <f t="shared" si="3"/>
        <v>1.3576583801122697</v>
      </c>
      <c r="I67" s="15">
        <v>53</v>
      </c>
      <c r="J67" s="353">
        <v>0.04388888888888889</v>
      </c>
    </row>
    <row r="68" spans="1:9" ht="15">
      <c r="A68" s="392">
        <v>61</v>
      </c>
      <c r="B68" s="391" t="s">
        <v>416</v>
      </c>
      <c r="C68" s="391" t="s">
        <v>585</v>
      </c>
      <c r="D68" s="393">
        <v>0.058958333333333335</v>
      </c>
      <c r="E68" s="231"/>
      <c r="F68" s="391"/>
      <c r="G68" s="393"/>
      <c r="H68" s="352"/>
      <c r="I68" s="83"/>
    </row>
    <row r="69" spans="1:10" s="15" customFormat="1" ht="15">
      <c r="A69" s="313">
        <v>62</v>
      </c>
      <c r="B69" s="314" t="s">
        <v>31</v>
      </c>
      <c r="C69" s="314" t="s">
        <v>325</v>
      </c>
      <c r="D69" s="399">
        <v>0.05922453703703704</v>
      </c>
      <c r="E69" s="316">
        <v>7</v>
      </c>
      <c r="F69" s="316">
        <v>24</v>
      </c>
      <c r="G69" s="393">
        <v>0.040185185185185185</v>
      </c>
      <c r="H69" s="352">
        <f>+D69/G69</f>
        <v>1.4737903225806452</v>
      </c>
      <c r="I69" s="15">
        <v>42</v>
      </c>
      <c r="J69" s="353">
        <v>0.041157407407407406</v>
      </c>
    </row>
    <row r="70" spans="1:9" ht="15">
      <c r="A70" s="392">
        <v>63</v>
      </c>
      <c r="B70" s="391" t="s">
        <v>586</v>
      </c>
      <c r="C70" s="391" t="s">
        <v>343</v>
      </c>
      <c r="D70" s="393">
        <v>0.059618055555555556</v>
      </c>
      <c r="E70" s="231"/>
      <c r="F70" s="391"/>
      <c r="G70" s="393"/>
      <c r="H70" s="352"/>
      <c r="I70" s="83"/>
    </row>
    <row r="71" spans="1:10" s="15" customFormat="1" ht="15">
      <c r="A71" s="317">
        <v>64</v>
      </c>
      <c r="B71" s="318" t="s">
        <v>507</v>
      </c>
      <c r="C71" s="318" t="s">
        <v>178</v>
      </c>
      <c r="D71" s="319">
        <v>0.06072916666666667</v>
      </c>
      <c r="E71" s="320">
        <v>7</v>
      </c>
      <c r="F71" s="320">
        <v>24</v>
      </c>
      <c r="G71" s="393">
        <v>0.04861111111111111</v>
      </c>
      <c r="H71" s="352">
        <f>+D71/G71</f>
        <v>1.2492857142857143</v>
      </c>
      <c r="I71" s="15">
        <v>98</v>
      </c>
      <c r="J71" s="353">
        <v>0.04763888888888889</v>
      </c>
    </row>
    <row r="72" spans="1:10" s="15" customFormat="1" ht="15">
      <c r="A72" s="317">
        <v>65</v>
      </c>
      <c r="B72" s="318" t="s">
        <v>392</v>
      </c>
      <c r="C72" s="318" t="s">
        <v>211</v>
      </c>
      <c r="D72" s="319">
        <v>0.06075231481481482</v>
      </c>
      <c r="E72" s="320">
        <v>8</v>
      </c>
      <c r="F72" s="320">
        <v>23</v>
      </c>
      <c r="G72" s="393">
        <v>0.045000000000000005</v>
      </c>
      <c r="H72" s="352">
        <f>+D72/G72</f>
        <v>1.350051440329218</v>
      </c>
      <c r="I72" s="15">
        <v>56</v>
      </c>
      <c r="J72" s="353">
        <v>0.045486111111111116</v>
      </c>
    </row>
    <row r="73" spans="1:9" ht="15">
      <c r="A73" s="392">
        <v>66</v>
      </c>
      <c r="B73" s="391" t="s">
        <v>379</v>
      </c>
      <c r="C73" s="391" t="s">
        <v>418</v>
      </c>
      <c r="D73" s="393">
        <v>0.06359953703703704</v>
      </c>
      <c r="E73" s="231"/>
      <c r="F73" s="391"/>
      <c r="G73" s="393"/>
      <c r="H73" s="352"/>
      <c r="I73" s="83"/>
    </row>
    <row r="74" spans="1:10" s="15" customFormat="1" ht="15">
      <c r="A74" s="317">
        <v>67</v>
      </c>
      <c r="B74" s="318" t="s">
        <v>245</v>
      </c>
      <c r="C74" s="318" t="s">
        <v>244</v>
      </c>
      <c r="D74" s="319">
        <v>0.06436342592592592</v>
      </c>
      <c r="E74" s="320">
        <v>9</v>
      </c>
      <c r="F74" s="320">
        <v>22</v>
      </c>
      <c r="G74" s="393">
        <v>0.04864583333333333</v>
      </c>
      <c r="H74" s="352">
        <f>+D74/G74</f>
        <v>1.3231025458006185</v>
      </c>
      <c r="I74" s="15">
        <v>72</v>
      </c>
      <c r="J74" s="353">
        <v>0.04857638888888889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Z42"/>
  <sheetViews>
    <sheetView showGridLines="0" zoomScalePageLayoutView="0" workbookViewId="0" topLeftCell="E1">
      <selection activeCell="Y14" sqref="Y14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5" width="6.28125" style="0" bestFit="1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2" width="7.00390625" style="0" bestFit="1" customWidth="1"/>
    <col min="23" max="23" width="9.00390625" style="0" bestFit="1" customWidth="1"/>
    <col min="24" max="24" width="7.0039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298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155"/>
      <c r="C5" s="156"/>
      <c r="D5" s="156"/>
      <c r="E5" s="157">
        <v>1</v>
      </c>
      <c r="F5" s="158">
        <v>2</v>
      </c>
      <c r="G5" s="158">
        <v>3</v>
      </c>
      <c r="H5" s="158">
        <v>4</v>
      </c>
      <c r="I5" s="158">
        <v>5</v>
      </c>
      <c r="J5" s="158">
        <v>6</v>
      </c>
      <c r="K5" s="158">
        <v>7</v>
      </c>
      <c r="L5" s="158">
        <v>8</v>
      </c>
      <c r="M5" s="158">
        <v>9</v>
      </c>
      <c r="N5" s="158">
        <v>10</v>
      </c>
      <c r="O5" s="158">
        <v>11</v>
      </c>
      <c r="P5" s="158">
        <v>12</v>
      </c>
      <c r="Q5" s="158">
        <v>13</v>
      </c>
      <c r="R5" s="158">
        <v>14</v>
      </c>
      <c r="S5" s="158">
        <v>15</v>
      </c>
      <c r="T5" s="158">
        <v>16</v>
      </c>
      <c r="U5" s="158">
        <v>17</v>
      </c>
      <c r="V5" s="158">
        <v>18</v>
      </c>
      <c r="W5" s="158">
        <v>19</v>
      </c>
      <c r="X5" s="158">
        <v>20</v>
      </c>
      <c r="Y5" s="159"/>
      <c r="Z5" s="160"/>
    </row>
    <row r="6" spans="2:26" ht="15" customHeight="1" thickBot="1">
      <c r="B6" s="161"/>
      <c r="C6" s="130"/>
      <c r="D6" s="131"/>
      <c r="E6" s="8" t="s">
        <v>0</v>
      </c>
      <c r="F6" s="6">
        <v>42015</v>
      </c>
      <c r="G6" s="6">
        <v>42043</v>
      </c>
      <c r="H6" s="6">
        <v>42085</v>
      </c>
      <c r="I6" s="6">
        <v>42113</v>
      </c>
      <c r="J6" s="7">
        <v>42140</v>
      </c>
      <c r="K6" s="7">
        <v>42162</v>
      </c>
      <c r="L6" s="6">
        <v>42186</v>
      </c>
      <c r="M6" s="7">
        <v>42192</v>
      </c>
      <c r="N6" s="7">
        <v>42195</v>
      </c>
      <c r="O6" s="7">
        <v>42214</v>
      </c>
      <c r="P6" s="7">
        <v>42220</v>
      </c>
      <c r="Q6" s="6">
        <v>42253</v>
      </c>
      <c r="R6" s="7" t="s">
        <v>604</v>
      </c>
      <c r="S6" s="7" t="s">
        <v>456</v>
      </c>
      <c r="T6" s="6">
        <v>42302</v>
      </c>
      <c r="U6" s="7">
        <v>42316</v>
      </c>
      <c r="V6" s="7" t="s">
        <v>619</v>
      </c>
      <c r="W6" s="7" t="s">
        <v>620</v>
      </c>
      <c r="X6" s="6">
        <v>42365</v>
      </c>
      <c r="Y6" s="237"/>
      <c r="Z6" s="238"/>
    </row>
    <row r="7" spans="2:26" ht="91.5" customHeight="1" thickBot="1">
      <c r="B7" s="462"/>
      <c r="C7" s="463"/>
      <c r="D7" s="132"/>
      <c r="E7" s="234" t="s">
        <v>534</v>
      </c>
      <c r="F7" s="235" t="s">
        <v>277</v>
      </c>
      <c r="G7" s="235" t="s">
        <v>22</v>
      </c>
      <c r="H7" s="235" t="s">
        <v>279</v>
      </c>
      <c r="I7" s="235" t="s">
        <v>280</v>
      </c>
      <c r="J7" s="235" t="s">
        <v>1</v>
      </c>
      <c r="K7" s="236" t="s">
        <v>246</v>
      </c>
      <c r="L7" s="235" t="s">
        <v>494</v>
      </c>
      <c r="M7" s="235" t="s">
        <v>281</v>
      </c>
      <c r="N7" s="235" t="s">
        <v>16</v>
      </c>
      <c r="O7" s="235" t="s">
        <v>495</v>
      </c>
      <c r="P7" s="235" t="s">
        <v>23</v>
      </c>
      <c r="Q7" s="235" t="s">
        <v>282</v>
      </c>
      <c r="R7" s="235" t="s">
        <v>13</v>
      </c>
      <c r="S7" s="235" t="s">
        <v>283</v>
      </c>
      <c r="T7" s="235" t="s">
        <v>286</v>
      </c>
      <c r="U7" s="235" t="s">
        <v>19</v>
      </c>
      <c r="V7" s="235" t="s">
        <v>288</v>
      </c>
      <c r="W7" s="235" t="s">
        <v>618</v>
      </c>
      <c r="X7" s="234" t="s">
        <v>328</v>
      </c>
      <c r="Y7" s="464" t="s">
        <v>2</v>
      </c>
      <c r="Z7" s="465" t="s">
        <v>3</v>
      </c>
    </row>
    <row r="8" spans="2:26" s="15" customFormat="1" ht="15.75" customHeight="1" thickBot="1">
      <c r="B8" s="162"/>
      <c r="C8" s="133"/>
      <c r="D8" s="134"/>
      <c r="E8" s="14" t="s">
        <v>8</v>
      </c>
      <c r="F8" s="13" t="s">
        <v>278</v>
      </c>
      <c r="G8" s="13" t="s">
        <v>21</v>
      </c>
      <c r="H8" s="13" t="s">
        <v>7</v>
      </c>
      <c r="I8" s="13" t="s">
        <v>4</v>
      </c>
      <c r="J8" s="13" t="s">
        <v>4</v>
      </c>
      <c r="K8" s="13" t="s">
        <v>4</v>
      </c>
      <c r="L8" s="13" t="s">
        <v>4</v>
      </c>
      <c r="M8" s="13" t="s">
        <v>21</v>
      </c>
      <c r="N8" s="13" t="s">
        <v>588</v>
      </c>
      <c r="O8" s="13" t="s">
        <v>5</v>
      </c>
      <c r="P8" s="13" t="s">
        <v>5</v>
      </c>
      <c r="Q8" s="13" t="s">
        <v>4</v>
      </c>
      <c r="R8" s="13" t="s">
        <v>6</v>
      </c>
      <c r="S8" s="13" t="s">
        <v>284</v>
      </c>
      <c r="T8" s="13" t="s">
        <v>287</v>
      </c>
      <c r="U8" s="13" t="s">
        <v>5</v>
      </c>
      <c r="V8" s="13" t="s">
        <v>4</v>
      </c>
      <c r="W8" s="13">
        <v>5.2</v>
      </c>
      <c r="X8" s="14" t="s">
        <v>329</v>
      </c>
      <c r="Y8" s="464"/>
      <c r="Z8" s="465"/>
    </row>
    <row r="9" spans="2:26" s="15" customFormat="1" ht="15.75" customHeight="1" thickBot="1">
      <c r="B9" s="163" t="s">
        <v>20</v>
      </c>
      <c r="C9" s="145" t="s">
        <v>17</v>
      </c>
      <c r="D9" s="146" t="s">
        <v>18</v>
      </c>
      <c r="E9" s="148" t="s">
        <v>15</v>
      </c>
      <c r="F9" s="147" t="s">
        <v>9</v>
      </c>
      <c r="G9" s="147" t="s">
        <v>14</v>
      </c>
      <c r="H9" s="147" t="s">
        <v>9</v>
      </c>
      <c r="I9" s="147" t="s">
        <v>9</v>
      </c>
      <c r="J9" s="147" t="s">
        <v>10</v>
      </c>
      <c r="K9" s="147" t="s">
        <v>11</v>
      </c>
      <c r="L9" s="147" t="s">
        <v>9</v>
      </c>
      <c r="M9" s="147" t="s">
        <v>11</v>
      </c>
      <c r="N9" s="147" t="s">
        <v>11</v>
      </c>
      <c r="O9" s="147" t="s">
        <v>10</v>
      </c>
      <c r="P9" s="147" t="s">
        <v>12</v>
      </c>
      <c r="Q9" s="147" t="s">
        <v>11</v>
      </c>
      <c r="R9" s="147" t="s">
        <v>13</v>
      </c>
      <c r="S9" s="147" t="s">
        <v>285</v>
      </c>
      <c r="T9" s="147" t="s">
        <v>12</v>
      </c>
      <c r="U9" s="147" t="s">
        <v>11</v>
      </c>
      <c r="V9" s="147" t="s">
        <v>9</v>
      </c>
      <c r="W9" s="147" t="s">
        <v>14</v>
      </c>
      <c r="X9" s="148" t="s">
        <v>9</v>
      </c>
      <c r="Y9" s="464"/>
      <c r="Z9" s="465"/>
    </row>
    <row r="10" spans="2:26" ht="15.75" thickBot="1">
      <c r="B10" s="166">
        <v>1</v>
      </c>
      <c r="C10" s="152" t="s">
        <v>27</v>
      </c>
      <c r="D10" s="152" t="s">
        <v>28</v>
      </c>
      <c r="E10" s="150">
        <v>29</v>
      </c>
      <c r="F10" s="150"/>
      <c r="G10" s="143"/>
      <c r="H10" s="143"/>
      <c r="I10" s="143"/>
      <c r="J10" s="143"/>
      <c r="K10" s="143"/>
      <c r="L10" s="143">
        <v>30</v>
      </c>
      <c r="M10" s="143"/>
      <c r="N10" s="143">
        <v>30</v>
      </c>
      <c r="O10" s="143">
        <v>30</v>
      </c>
      <c r="P10" s="143">
        <v>30</v>
      </c>
      <c r="Q10" s="143">
        <v>30</v>
      </c>
      <c r="R10" s="143">
        <v>30</v>
      </c>
      <c r="S10" s="143">
        <v>30</v>
      </c>
      <c r="T10" s="143"/>
      <c r="U10" s="143"/>
      <c r="V10" s="143">
        <v>30</v>
      </c>
      <c r="W10" s="143"/>
      <c r="X10" s="154"/>
      <c r="Y10" s="152">
        <f>COUNT(E10:X10)</f>
        <v>9</v>
      </c>
      <c r="Z10" s="165">
        <f>IF(Y10&lt;9,SUM(E10:X10),SUM(LARGE(E10:X10,1),LARGE(E10:X10,2),LARGE(E10:X10,3),LARGE(E10:X10,4),LARGE(E10:X10,5),LARGE(E10:X10,6),LARGE(E10:X10,7),LARGE(E10:X10,8),LARGE(E10:X10,9)))</f>
        <v>269</v>
      </c>
    </row>
    <row r="11" spans="2:26" ht="15.75" thickBot="1">
      <c r="B11" s="166">
        <v>2</v>
      </c>
      <c r="C11" s="152" t="s">
        <v>35</v>
      </c>
      <c r="D11" s="152" t="s">
        <v>36</v>
      </c>
      <c r="E11" s="400">
        <v>27</v>
      </c>
      <c r="F11" s="150">
        <v>30</v>
      </c>
      <c r="G11" s="143">
        <v>30</v>
      </c>
      <c r="H11" s="143">
        <v>30</v>
      </c>
      <c r="I11" s="143">
        <v>30</v>
      </c>
      <c r="J11" s="143"/>
      <c r="K11" s="400">
        <v>28</v>
      </c>
      <c r="L11" s="400">
        <v>26</v>
      </c>
      <c r="M11" s="143">
        <v>28</v>
      </c>
      <c r="N11" s="400">
        <v>27</v>
      </c>
      <c r="O11" s="143"/>
      <c r="P11" s="143"/>
      <c r="Q11" s="143"/>
      <c r="R11" s="143">
        <v>29</v>
      </c>
      <c r="S11" s="400">
        <v>26</v>
      </c>
      <c r="T11" s="143"/>
      <c r="U11" s="143">
        <v>30</v>
      </c>
      <c r="V11" s="143">
        <v>29</v>
      </c>
      <c r="W11" s="143">
        <v>28</v>
      </c>
      <c r="X11" s="154"/>
      <c r="Y11" s="152">
        <f aca="true" t="shared" si="0" ref="Y11:Y34">COUNT(E11:X11)</f>
        <v>14</v>
      </c>
      <c r="Z11" s="165">
        <f aca="true" t="shared" si="1" ref="Z11:Z34">IF(Y11&lt;9,SUM(E11:X11),SUM(LARGE(E11:X11,1),LARGE(E11:X11,2),LARGE(E11:X11,3),LARGE(E11:X11,4),LARGE(E11:X11,5),LARGE(E11:X11,6),LARGE(E11:X11,7),LARGE(E11:X11,8),LARGE(E11:X11,9)))</f>
        <v>264</v>
      </c>
    </row>
    <row r="12" spans="2:26" ht="15">
      <c r="B12" s="166">
        <v>3</v>
      </c>
      <c r="C12" s="152" t="s">
        <v>41</v>
      </c>
      <c r="D12" s="152" t="s">
        <v>42</v>
      </c>
      <c r="E12" s="400">
        <v>28</v>
      </c>
      <c r="F12" s="150"/>
      <c r="G12" s="143"/>
      <c r="H12" s="143"/>
      <c r="I12" s="143"/>
      <c r="J12" s="143"/>
      <c r="K12" s="143">
        <v>30</v>
      </c>
      <c r="L12" s="143">
        <v>29</v>
      </c>
      <c r="M12" s="143">
        <v>29</v>
      </c>
      <c r="N12" s="449">
        <v>26</v>
      </c>
      <c r="O12" s="143">
        <v>29</v>
      </c>
      <c r="P12" s="143"/>
      <c r="Q12" s="143">
        <v>29</v>
      </c>
      <c r="R12" s="143">
        <v>28</v>
      </c>
      <c r="S12" s="143">
        <v>29</v>
      </c>
      <c r="T12" s="143"/>
      <c r="U12" s="143">
        <v>28</v>
      </c>
      <c r="V12" s="143"/>
      <c r="W12" s="143">
        <v>29</v>
      </c>
      <c r="X12" s="154"/>
      <c r="Y12" s="152">
        <f t="shared" si="0"/>
        <v>11</v>
      </c>
      <c r="Z12" s="165">
        <f t="shared" si="1"/>
        <v>260</v>
      </c>
    </row>
    <row r="13" spans="2:26" ht="15.75" thickBot="1">
      <c r="B13" s="166">
        <v>4</v>
      </c>
      <c r="C13" s="152" t="s">
        <v>29</v>
      </c>
      <c r="D13" s="152" t="s">
        <v>30</v>
      </c>
      <c r="E13" s="150">
        <v>26</v>
      </c>
      <c r="F13" s="150"/>
      <c r="G13" s="143">
        <v>29</v>
      </c>
      <c r="H13" s="144"/>
      <c r="I13" s="144"/>
      <c r="J13" s="144"/>
      <c r="K13" s="144">
        <v>29</v>
      </c>
      <c r="L13" s="144"/>
      <c r="M13" s="144">
        <v>30</v>
      </c>
      <c r="N13" s="144">
        <v>29</v>
      </c>
      <c r="O13" s="144"/>
      <c r="P13" s="144">
        <v>27</v>
      </c>
      <c r="Q13" s="144"/>
      <c r="R13" s="144"/>
      <c r="S13" s="144">
        <v>27</v>
      </c>
      <c r="T13" s="144"/>
      <c r="U13" s="144">
        <v>29</v>
      </c>
      <c r="V13" s="144"/>
      <c r="W13" s="144">
        <v>30</v>
      </c>
      <c r="X13" s="154"/>
      <c r="Y13" s="152">
        <f>COUNT(E13:X13)</f>
        <v>9</v>
      </c>
      <c r="Z13" s="165">
        <f>IF(Y13&lt;9,SUM(E13:X13),SUM(LARGE(E13:X13,1),LARGE(E13:X13,2),LARGE(E13:X13,3),LARGE(E13:X13,4),LARGE(E13:X13,5),LARGE(E13:X13,6),LARGE(E13:X13,7),LARGE(E13:X13,8),LARGE(E13:X13,9)))</f>
        <v>256</v>
      </c>
    </row>
    <row r="14" spans="2:26" ht="15">
      <c r="B14" s="166">
        <v>5</v>
      </c>
      <c r="C14" s="152" t="s">
        <v>52</v>
      </c>
      <c r="D14" s="152" t="s">
        <v>274</v>
      </c>
      <c r="E14" s="400">
        <v>21</v>
      </c>
      <c r="F14" s="150"/>
      <c r="G14" s="143"/>
      <c r="H14" s="144"/>
      <c r="I14" s="144"/>
      <c r="J14" s="144">
        <v>30</v>
      </c>
      <c r="K14" s="144"/>
      <c r="L14" s="144">
        <v>27</v>
      </c>
      <c r="M14" s="144">
        <v>27</v>
      </c>
      <c r="N14" s="449">
        <v>24</v>
      </c>
      <c r="O14" s="449">
        <v>25</v>
      </c>
      <c r="P14" s="144"/>
      <c r="Q14" s="144">
        <v>27</v>
      </c>
      <c r="R14" s="144">
        <v>25</v>
      </c>
      <c r="S14" s="449">
        <v>23</v>
      </c>
      <c r="T14" s="144">
        <v>29</v>
      </c>
      <c r="U14" s="144">
        <v>26</v>
      </c>
      <c r="V14" s="144"/>
      <c r="W14" s="144">
        <v>27</v>
      </c>
      <c r="X14" s="154">
        <v>30</v>
      </c>
      <c r="Y14" s="152">
        <f>COUNT(E14:X14)</f>
        <v>13</v>
      </c>
      <c r="Z14" s="165">
        <f>IF(Y14&lt;9,SUM(E14:X14),SUM(LARGE(E14:X14,1),LARGE(E14:X14,2),LARGE(E14:X14,3),LARGE(E14:X14,4),LARGE(E14:X14,5),LARGE(E14:X14,6),LARGE(E14:X14,7),LARGE(E14:X14,8),LARGE(E14:X14,9)))</f>
        <v>248</v>
      </c>
    </row>
    <row r="15" spans="2:26" ht="15.75" thickBot="1">
      <c r="B15" s="166">
        <v>6</v>
      </c>
      <c r="C15" s="152" t="s">
        <v>39</v>
      </c>
      <c r="D15" s="152" t="s">
        <v>40</v>
      </c>
      <c r="E15" s="150">
        <v>24</v>
      </c>
      <c r="F15" s="150"/>
      <c r="G15" s="143"/>
      <c r="H15" s="143"/>
      <c r="I15" s="143"/>
      <c r="J15" s="143"/>
      <c r="K15" s="143"/>
      <c r="L15" s="143">
        <v>24</v>
      </c>
      <c r="M15" s="143">
        <v>24</v>
      </c>
      <c r="N15" s="143">
        <v>23</v>
      </c>
      <c r="O15" s="143">
        <v>26</v>
      </c>
      <c r="P15" s="143"/>
      <c r="Q15" s="143">
        <v>26</v>
      </c>
      <c r="R15" s="143"/>
      <c r="S15" s="143">
        <v>24</v>
      </c>
      <c r="T15" s="143"/>
      <c r="U15" s="143">
        <v>27</v>
      </c>
      <c r="V15" s="143"/>
      <c r="W15" s="143">
        <v>25</v>
      </c>
      <c r="X15" s="154"/>
      <c r="Y15" s="152">
        <f>COUNT(E15:X15)</f>
        <v>9</v>
      </c>
      <c r="Z15" s="165">
        <f>IF(Y15&lt;9,SUM(E15:X15),SUM(LARGE(E15:X15,1),LARGE(E15:X15,2),LARGE(E15:X15,3),LARGE(E15:X15,4),LARGE(E15:X15,5),LARGE(E15:X15,6),LARGE(E15:X15,7),LARGE(E15:X15,8),LARGE(E15:X15,9)))</f>
        <v>223</v>
      </c>
    </row>
    <row r="16" spans="2:26" ht="15">
      <c r="B16" s="166">
        <v>7</v>
      </c>
      <c r="C16" s="151" t="s">
        <v>347</v>
      </c>
      <c r="D16" s="151" t="s">
        <v>348</v>
      </c>
      <c r="E16" s="149"/>
      <c r="F16" s="149"/>
      <c r="G16" s="144">
        <v>26</v>
      </c>
      <c r="H16" s="144"/>
      <c r="I16" s="144">
        <v>27</v>
      </c>
      <c r="J16" s="144"/>
      <c r="K16" s="144"/>
      <c r="L16" s="144">
        <v>25</v>
      </c>
      <c r="M16" s="144">
        <v>26</v>
      </c>
      <c r="N16" s="144"/>
      <c r="O16" s="144"/>
      <c r="P16" s="144"/>
      <c r="Q16" s="144"/>
      <c r="R16" s="144">
        <v>27</v>
      </c>
      <c r="S16" s="144">
        <v>25</v>
      </c>
      <c r="T16" s="144">
        <v>30</v>
      </c>
      <c r="U16" s="144"/>
      <c r="V16" s="144"/>
      <c r="W16" s="144"/>
      <c r="X16" s="153"/>
      <c r="Y16" s="226">
        <f>COUNT(E16:X16)</f>
        <v>7</v>
      </c>
      <c r="Z16" s="227">
        <f>IF(Y16&lt;9,SUM(E16:X16),SUM(LARGE(E16:X16,1),LARGE(E16:X16,2),LARGE(E16:X16,3),LARGE(E16:X16,4),LARGE(E16:X16,5),LARGE(E16:X16,6),LARGE(E16:X16,7),LARGE(E16:X16,8),LARGE(E16:X16,9)))</f>
        <v>186</v>
      </c>
    </row>
    <row r="17" spans="2:26" ht="15">
      <c r="B17" s="166">
        <v>8</v>
      </c>
      <c r="C17" s="152" t="s">
        <v>52</v>
      </c>
      <c r="D17" s="152" t="s">
        <v>53</v>
      </c>
      <c r="E17" s="150">
        <v>17</v>
      </c>
      <c r="F17" s="150"/>
      <c r="G17" s="143"/>
      <c r="H17" s="143">
        <v>29</v>
      </c>
      <c r="I17" s="143"/>
      <c r="J17" s="143"/>
      <c r="K17" s="143">
        <v>25</v>
      </c>
      <c r="L17" s="143"/>
      <c r="M17" s="143"/>
      <c r="N17" s="143"/>
      <c r="O17" s="143">
        <v>23</v>
      </c>
      <c r="P17" s="143"/>
      <c r="Q17" s="143"/>
      <c r="R17" s="143">
        <v>24</v>
      </c>
      <c r="S17" s="143"/>
      <c r="T17" s="143"/>
      <c r="U17" s="143">
        <v>25</v>
      </c>
      <c r="V17" s="143"/>
      <c r="W17" s="143"/>
      <c r="X17" s="154"/>
      <c r="Y17" s="152">
        <f t="shared" si="0"/>
        <v>6</v>
      </c>
      <c r="Z17" s="165">
        <f t="shared" si="1"/>
        <v>143</v>
      </c>
    </row>
    <row r="18" spans="2:26" ht="15">
      <c r="B18" s="164">
        <v>9</v>
      </c>
      <c r="C18" s="152" t="s">
        <v>50</v>
      </c>
      <c r="D18" s="152" t="s">
        <v>51</v>
      </c>
      <c r="E18" s="150">
        <v>19</v>
      </c>
      <c r="F18" s="150"/>
      <c r="G18" s="143">
        <v>24</v>
      </c>
      <c r="H18" s="144"/>
      <c r="I18" s="144"/>
      <c r="J18" s="144"/>
      <c r="K18" s="144"/>
      <c r="L18" s="144"/>
      <c r="M18" s="144"/>
      <c r="N18" s="144">
        <v>22</v>
      </c>
      <c r="O18" s="144">
        <v>24</v>
      </c>
      <c r="P18" s="144"/>
      <c r="Q18" s="144"/>
      <c r="R18" s="144">
        <v>26</v>
      </c>
      <c r="S18" s="144"/>
      <c r="T18" s="144"/>
      <c r="U18" s="144"/>
      <c r="V18" s="144"/>
      <c r="W18" s="144">
        <v>24</v>
      </c>
      <c r="X18" s="154"/>
      <c r="Y18" s="152">
        <f>COUNT(E18:X18)</f>
        <v>6</v>
      </c>
      <c r="Z18" s="165">
        <f t="shared" si="1"/>
        <v>139</v>
      </c>
    </row>
    <row r="19" spans="2:26" ht="15">
      <c r="B19" s="166">
        <v>10</v>
      </c>
      <c r="C19" s="152" t="s">
        <v>56</v>
      </c>
      <c r="D19" s="152" t="s">
        <v>57</v>
      </c>
      <c r="E19" s="150">
        <v>15</v>
      </c>
      <c r="F19" s="150"/>
      <c r="G19" s="143">
        <v>25</v>
      </c>
      <c r="H19" s="143"/>
      <c r="I19" s="143">
        <v>28</v>
      </c>
      <c r="J19" s="143"/>
      <c r="K19" s="143"/>
      <c r="L19" s="143"/>
      <c r="M19" s="143"/>
      <c r="N19" s="143">
        <v>20</v>
      </c>
      <c r="O19" s="143">
        <v>27</v>
      </c>
      <c r="P19" s="143"/>
      <c r="Q19" s="143"/>
      <c r="R19" s="143"/>
      <c r="S19" s="143"/>
      <c r="T19" s="143"/>
      <c r="U19" s="143"/>
      <c r="V19" s="143"/>
      <c r="W19" s="143"/>
      <c r="X19" s="154"/>
      <c r="Y19" s="152">
        <f t="shared" si="0"/>
        <v>5</v>
      </c>
      <c r="Z19" s="165">
        <f t="shared" si="1"/>
        <v>115</v>
      </c>
    </row>
    <row r="20" spans="2:26" ht="15">
      <c r="B20" s="166">
        <v>11</v>
      </c>
      <c r="C20" s="152" t="s">
        <v>33</v>
      </c>
      <c r="D20" s="152" t="s">
        <v>34</v>
      </c>
      <c r="E20" s="150"/>
      <c r="F20" s="150"/>
      <c r="G20" s="143">
        <v>28</v>
      </c>
      <c r="H20" s="143"/>
      <c r="I20" s="143">
        <v>29</v>
      </c>
      <c r="J20" s="143"/>
      <c r="K20" s="143"/>
      <c r="L20" s="143"/>
      <c r="M20" s="143"/>
      <c r="N20" s="143"/>
      <c r="O20" s="143"/>
      <c r="P20" s="143">
        <v>29</v>
      </c>
      <c r="Q20" s="143"/>
      <c r="R20" s="143"/>
      <c r="S20" s="143">
        <v>28</v>
      </c>
      <c r="T20" s="143"/>
      <c r="U20" s="143"/>
      <c r="V20" s="143"/>
      <c r="W20" s="143"/>
      <c r="X20" s="154"/>
      <c r="Y20" s="152">
        <f>COUNT(E20:X20)</f>
        <v>4</v>
      </c>
      <c r="Z20" s="165">
        <f>IF(Y20&lt;9,SUM(E20:X20),SUM(LARGE(E20:X20,1),LARGE(E20:X20,2),LARGE(E20:X20,3),LARGE(E20:X20,4),LARGE(E20:X20,5),LARGE(E20:X20,6),LARGE(E20:X20,7),LARGE(E20:X20,8),LARGE(E20:X20,9)))</f>
        <v>114</v>
      </c>
    </row>
    <row r="21" spans="2:26" ht="15">
      <c r="B21" s="166">
        <v>12</v>
      </c>
      <c r="C21" s="152" t="s">
        <v>31</v>
      </c>
      <c r="D21" s="152" t="s">
        <v>32</v>
      </c>
      <c r="E21" s="150">
        <v>25</v>
      </c>
      <c r="F21" s="150"/>
      <c r="G21" s="143"/>
      <c r="H21" s="143"/>
      <c r="I21" s="143"/>
      <c r="J21" s="143"/>
      <c r="K21" s="143">
        <v>27</v>
      </c>
      <c r="L21" s="143"/>
      <c r="M21" s="143">
        <v>25</v>
      </c>
      <c r="N21" s="143"/>
      <c r="O21" s="143"/>
      <c r="P21" s="143"/>
      <c r="Q21" s="143">
        <v>28</v>
      </c>
      <c r="R21" s="143"/>
      <c r="S21" s="143"/>
      <c r="T21" s="143"/>
      <c r="U21" s="143"/>
      <c r="V21" s="143"/>
      <c r="W21" s="143"/>
      <c r="X21" s="154"/>
      <c r="Y21" s="152">
        <f>COUNT(E21:X21)</f>
        <v>4</v>
      </c>
      <c r="Z21" s="165">
        <f t="shared" si="1"/>
        <v>105</v>
      </c>
    </row>
    <row r="22" spans="2:26" ht="15">
      <c r="B22" s="166">
        <v>13</v>
      </c>
      <c r="C22" s="152" t="s">
        <v>48</v>
      </c>
      <c r="D22" s="152" t="s">
        <v>49</v>
      </c>
      <c r="E22" s="150">
        <v>19</v>
      </c>
      <c r="F22" s="150"/>
      <c r="G22" s="143"/>
      <c r="H22" s="143"/>
      <c r="I22" s="143"/>
      <c r="J22" s="143"/>
      <c r="K22" s="143">
        <v>26</v>
      </c>
      <c r="L22" s="143"/>
      <c r="M22" s="143"/>
      <c r="N22" s="143">
        <v>25</v>
      </c>
      <c r="O22" s="143"/>
      <c r="P22" s="143"/>
      <c r="Q22" s="143"/>
      <c r="R22" s="143"/>
      <c r="S22" s="143"/>
      <c r="T22" s="143"/>
      <c r="U22" s="143"/>
      <c r="V22" s="143"/>
      <c r="W22" s="143">
        <v>26</v>
      </c>
      <c r="X22" s="154"/>
      <c r="Y22" s="152">
        <f>COUNT(E22:X22)</f>
        <v>4</v>
      </c>
      <c r="Z22" s="165">
        <f>IF(Y22&lt;9,SUM(E22:X22),SUM(LARGE(E22:X22,1),LARGE(E22:X22,2),LARGE(E22:X22,3),LARGE(E22:X22,4),LARGE(E22:X22,5),LARGE(E22:X22,6),LARGE(E22:X22,7),LARGE(E22:X22,8),LARGE(E22:X22,9)))</f>
        <v>96</v>
      </c>
    </row>
    <row r="23" spans="2:26" ht="15">
      <c r="B23" s="166">
        <v>14</v>
      </c>
      <c r="C23" s="152" t="s">
        <v>218</v>
      </c>
      <c r="D23" s="152" t="s">
        <v>232</v>
      </c>
      <c r="E23" s="150">
        <v>22</v>
      </c>
      <c r="F23" s="150"/>
      <c r="G23" s="143"/>
      <c r="H23" s="144"/>
      <c r="I23" s="144"/>
      <c r="J23" s="144"/>
      <c r="K23" s="144"/>
      <c r="L23" s="144">
        <v>28</v>
      </c>
      <c r="M23" s="144"/>
      <c r="N23" s="144"/>
      <c r="O23" s="144"/>
      <c r="P23" s="144"/>
      <c r="Q23" s="144"/>
      <c r="R23" s="144"/>
      <c r="S23" s="144">
        <v>22</v>
      </c>
      <c r="T23" s="144"/>
      <c r="U23" s="144"/>
      <c r="V23" s="144"/>
      <c r="W23" s="144"/>
      <c r="X23" s="154"/>
      <c r="Y23" s="152">
        <f>COUNT(E23:X23)</f>
        <v>3</v>
      </c>
      <c r="Z23" s="165">
        <f>IF(Y23&lt;9,SUM(E23:X23),SUM(LARGE(E23:X23,1),LARGE(E23:X23,2),LARGE(E23:X23,3),LARGE(E23:X23,4),LARGE(E23:X23,5),LARGE(E23:X23,6),LARGE(E23:X23,7),LARGE(E23:X23,8),LARGE(E23:X23,9)))</f>
        <v>72</v>
      </c>
    </row>
    <row r="24" spans="2:26" ht="15">
      <c r="B24" s="166">
        <v>15</v>
      </c>
      <c r="C24" s="152" t="s">
        <v>43</v>
      </c>
      <c r="D24" s="152" t="s">
        <v>44</v>
      </c>
      <c r="E24" s="150"/>
      <c r="F24" s="150"/>
      <c r="G24" s="143">
        <v>27</v>
      </c>
      <c r="H24" s="143"/>
      <c r="I24" s="143"/>
      <c r="J24" s="143"/>
      <c r="K24" s="143"/>
      <c r="L24" s="143"/>
      <c r="M24" s="143"/>
      <c r="N24" s="143"/>
      <c r="O24" s="143"/>
      <c r="P24" s="143">
        <v>28</v>
      </c>
      <c r="Q24" s="143"/>
      <c r="R24" s="143"/>
      <c r="S24" s="143"/>
      <c r="T24" s="143"/>
      <c r="U24" s="143"/>
      <c r="V24" s="143"/>
      <c r="W24" s="143"/>
      <c r="X24" s="154"/>
      <c r="Y24" s="152">
        <f t="shared" si="0"/>
        <v>2</v>
      </c>
      <c r="Z24" s="165">
        <f t="shared" si="1"/>
        <v>55</v>
      </c>
    </row>
    <row r="25" spans="2:26" ht="15">
      <c r="B25" s="166">
        <v>16</v>
      </c>
      <c r="C25" s="152" t="s">
        <v>54</v>
      </c>
      <c r="D25" s="152" t="s">
        <v>55</v>
      </c>
      <c r="E25" s="150">
        <v>23</v>
      </c>
      <c r="F25" s="150"/>
      <c r="G25" s="143"/>
      <c r="H25" s="143"/>
      <c r="I25" s="143"/>
      <c r="J25" s="143"/>
      <c r="K25" s="143"/>
      <c r="L25" s="143"/>
      <c r="M25" s="143"/>
      <c r="N25" s="143"/>
      <c r="O25" s="143">
        <v>28</v>
      </c>
      <c r="P25" s="143"/>
      <c r="Q25" s="143"/>
      <c r="R25" s="143"/>
      <c r="S25" s="143"/>
      <c r="T25" s="143"/>
      <c r="U25" s="143"/>
      <c r="V25" s="143"/>
      <c r="W25" s="143"/>
      <c r="X25" s="154"/>
      <c r="Y25" s="152">
        <f>COUNT(E25:X25)</f>
        <v>2</v>
      </c>
      <c r="Z25" s="165">
        <f t="shared" si="1"/>
        <v>51</v>
      </c>
    </row>
    <row r="26" spans="2:26" ht="15">
      <c r="B26" s="166">
        <v>17</v>
      </c>
      <c r="C26" s="152" t="s">
        <v>37</v>
      </c>
      <c r="D26" s="152" t="s">
        <v>38</v>
      </c>
      <c r="E26" s="150">
        <v>20</v>
      </c>
      <c r="F26" s="150">
        <v>29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54"/>
      <c r="Y26" s="152">
        <f t="shared" si="0"/>
        <v>2</v>
      </c>
      <c r="Z26" s="165">
        <f t="shared" si="1"/>
        <v>49</v>
      </c>
    </row>
    <row r="27" spans="2:26" ht="15">
      <c r="B27" s="166">
        <v>18</v>
      </c>
      <c r="C27" s="152" t="s">
        <v>115</v>
      </c>
      <c r="D27" s="152" t="s">
        <v>552</v>
      </c>
      <c r="E27" s="150">
        <v>30</v>
      </c>
      <c r="F27" s="150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54"/>
      <c r="Y27" s="152">
        <f>COUNT(E27:X27)</f>
        <v>1</v>
      </c>
      <c r="Z27" s="165">
        <f t="shared" si="1"/>
        <v>30</v>
      </c>
    </row>
    <row r="28" spans="2:26" ht="15">
      <c r="B28" s="166" t="s">
        <v>666</v>
      </c>
      <c r="C28" s="152" t="s">
        <v>187</v>
      </c>
      <c r="D28" s="152" t="s">
        <v>553</v>
      </c>
      <c r="E28" s="150"/>
      <c r="F28" s="150"/>
      <c r="G28" s="143"/>
      <c r="H28" s="143"/>
      <c r="I28" s="143"/>
      <c r="J28" s="143"/>
      <c r="K28" s="143"/>
      <c r="L28" s="143"/>
      <c r="M28" s="143"/>
      <c r="N28" s="143">
        <v>28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54"/>
      <c r="Y28" s="152">
        <f t="shared" si="0"/>
        <v>1</v>
      </c>
      <c r="Z28" s="165">
        <f t="shared" si="1"/>
        <v>28</v>
      </c>
    </row>
    <row r="29" spans="2:26" ht="15">
      <c r="B29" s="166" t="s">
        <v>666</v>
      </c>
      <c r="C29" s="152" t="s">
        <v>273</v>
      </c>
      <c r="D29" s="152" t="s">
        <v>272</v>
      </c>
      <c r="E29" s="150"/>
      <c r="F29" s="150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>
        <v>28</v>
      </c>
      <c r="W29" s="143"/>
      <c r="X29" s="154"/>
      <c r="Y29" s="152">
        <f>COUNT(E29:X29)</f>
        <v>1</v>
      </c>
      <c r="Z29" s="165">
        <f>IF(Y29&lt;9,SUM(E29:X29),SUM(LARGE(E29:X29,1),LARGE(E29:X29,2),LARGE(E29:X29,3),LARGE(E29:X29,4),LARGE(E29:X29,5),LARGE(E29:X29,6),LARGE(E29:X29,7),LARGE(E29:X29,8),LARGE(E29:X29,9)))</f>
        <v>28</v>
      </c>
    </row>
    <row r="30" spans="2:26" ht="15">
      <c r="B30" s="166">
        <v>21</v>
      </c>
      <c r="C30" s="152" t="s">
        <v>59</v>
      </c>
      <c r="D30" s="152" t="s">
        <v>60</v>
      </c>
      <c r="E30" s="150"/>
      <c r="F30" s="150"/>
      <c r="G30" s="143"/>
      <c r="H30" s="143"/>
      <c r="I30" s="143"/>
      <c r="J30" s="143"/>
      <c r="K30" s="143"/>
      <c r="L30" s="143"/>
      <c r="M30" s="143"/>
      <c r="N30" s="143">
        <v>21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54"/>
      <c r="Y30" s="152">
        <f t="shared" si="0"/>
        <v>1</v>
      </c>
      <c r="Z30" s="165">
        <f t="shared" si="1"/>
        <v>21</v>
      </c>
    </row>
    <row r="31" spans="2:26" ht="15">
      <c r="B31" s="166" t="s">
        <v>639</v>
      </c>
      <c r="C31" s="152" t="s">
        <v>25</v>
      </c>
      <c r="D31" s="152" t="s">
        <v>26</v>
      </c>
      <c r="E31" s="150"/>
      <c r="F31" s="150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54"/>
      <c r="Y31" s="152">
        <f t="shared" si="0"/>
        <v>0</v>
      </c>
      <c r="Z31" s="165">
        <f t="shared" si="1"/>
        <v>0</v>
      </c>
    </row>
    <row r="32" spans="2:26" ht="15">
      <c r="B32" s="166" t="s">
        <v>639</v>
      </c>
      <c r="C32" s="152" t="s">
        <v>45</v>
      </c>
      <c r="D32" s="152" t="s">
        <v>46</v>
      </c>
      <c r="E32" s="150"/>
      <c r="F32" s="150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54"/>
      <c r="Y32" s="152">
        <f t="shared" si="0"/>
        <v>0</v>
      </c>
      <c r="Z32" s="165">
        <f t="shared" si="1"/>
        <v>0</v>
      </c>
    </row>
    <row r="33" spans="2:26" ht="15">
      <c r="B33" s="166" t="s">
        <v>639</v>
      </c>
      <c r="C33" s="152" t="s">
        <v>67</v>
      </c>
      <c r="D33" s="152" t="s">
        <v>268</v>
      </c>
      <c r="E33" s="150"/>
      <c r="F33" s="150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54"/>
      <c r="Y33" s="152">
        <f t="shared" si="0"/>
        <v>0</v>
      </c>
      <c r="Z33" s="165">
        <f t="shared" si="1"/>
        <v>0</v>
      </c>
    </row>
    <row r="34" spans="2:26" ht="15.75" thickBot="1">
      <c r="B34" s="167" t="s">
        <v>639</v>
      </c>
      <c r="C34" s="168" t="s">
        <v>52</v>
      </c>
      <c r="D34" s="168" t="s">
        <v>58</v>
      </c>
      <c r="E34" s="169"/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1"/>
      <c r="Y34" s="168">
        <f t="shared" si="0"/>
        <v>0</v>
      </c>
      <c r="Z34" s="172">
        <f t="shared" si="1"/>
        <v>0</v>
      </c>
    </row>
    <row r="35" ht="15.75" thickTop="1"/>
    <row r="38" ht="31.5">
      <c r="B38" s="50" t="s">
        <v>299</v>
      </c>
    </row>
    <row r="39" ht="15.75" thickBot="1"/>
    <row r="40" spans="2:26" ht="15.75" thickTop="1">
      <c r="B40" s="174">
        <v>1</v>
      </c>
      <c r="C40" s="175" t="s">
        <v>427</v>
      </c>
      <c r="D40" s="175" t="s">
        <v>426</v>
      </c>
      <c r="E40" s="400">
        <v>28</v>
      </c>
      <c r="F40" s="173"/>
      <c r="G40" s="173"/>
      <c r="H40" s="173"/>
      <c r="I40" s="173"/>
      <c r="J40" s="173"/>
      <c r="K40" s="173">
        <v>30</v>
      </c>
      <c r="L40" s="173">
        <v>29</v>
      </c>
      <c r="M40" s="173">
        <v>29</v>
      </c>
      <c r="N40" s="400">
        <v>26</v>
      </c>
      <c r="O40" s="173">
        <v>29</v>
      </c>
      <c r="P40" s="173"/>
      <c r="Q40" s="173">
        <v>29</v>
      </c>
      <c r="R40" s="173">
        <v>28</v>
      </c>
      <c r="S40" s="173">
        <v>29</v>
      </c>
      <c r="T40" s="173"/>
      <c r="U40" s="173">
        <v>28</v>
      </c>
      <c r="V40" s="173"/>
      <c r="W40" s="173">
        <v>29</v>
      </c>
      <c r="X40" s="176"/>
      <c r="Y40" s="175">
        <f>COUNT(E40:X40)</f>
        <v>11</v>
      </c>
      <c r="Z40" s="177">
        <f>IF(Y40&lt;9,SUM(E40:X40),SUM(LARGE(E40:X40,1),LARGE(E40:X40,2),LARGE(E40:X40,3),LARGE(E40:X40,4),LARGE(E40:X40,5),LARGE(E40:X40,6),LARGE(E40:X40,7),LARGE(E40:X40,8),LARGE(E40:X40,9)))</f>
        <v>260</v>
      </c>
    </row>
    <row r="41" spans="2:26" ht="15">
      <c r="B41" s="164">
        <v>2</v>
      </c>
      <c r="C41" s="152" t="s">
        <v>50</v>
      </c>
      <c r="D41" s="152" t="s">
        <v>51</v>
      </c>
      <c r="E41" s="150">
        <v>21</v>
      </c>
      <c r="F41" s="143">
        <v>24</v>
      </c>
      <c r="G41" s="143"/>
      <c r="H41" s="143"/>
      <c r="I41" s="143"/>
      <c r="J41" s="143"/>
      <c r="K41" s="143"/>
      <c r="L41" s="143"/>
      <c r="M41" s="143"/>
      <c r="N41" s="143">
        <v>22</v>
      </c>
      <c r="O41" s="143">
        <v>24</v>
      </c>
      <c r="P41" s="143"/>
      <c r="Q41" s="143"/>
      <c r="R41" s="143">
        <v>26</v>
      </c>
      <c r="S41" s="143"/>
      <c r="T41" s="143"/>
      <c r="U41" s="143"/>
      <c r="V41" s="143"/>
      <c r="W41" s="143">
        <v>24</v>
      </c>
      <c r="X41" s="154"/>
      <c r="Y41" s="152">
        <f>COUNT(E41:X41)</f>
        <v>6</v>
      </c>
      <c r="Z41" s="165">
        <f>IF(Y41&lt;9,SUM(E41:X41),SUM(LARGE(E41:X41,1),LARGE(E41:X41,2),LARGE(E41:X41,3),LARGE(E41:X41,4),LARGE(E41:X41,5),LARGE(E41:X41,6),LARGE(E41:X41,7),LARGE(E41:X41,8),LARGE(E41:X41,9)))</f>
        <v>141</v>
      </c>
    </row>
    <row r="42" spans="2:26" ht="15.75" thickBot="1">
      <c r="B42" s="167">
        <v>3</v>
      </c>
      <c r="C42" s="168" t="s">
        <v>59</v>
      </c>
      <c r="D42" s="168" t="s">
        <v>60</v>
      </c>
      <c r="E42" s="169"/>
      <c r="F42" s="170"/>
      <c r="G42" s="170"/>
      <c r="H42" s="170"/>
      <c r="I42" s="170"/>
      <c r="J42" s="170"/>
      <c r="K42" s="170"/>
      <c r="L42" s="170"/>
      <c r="M42" s="170"/>
      <c r="N42" s="170">
        <v>21</v>
      </c>
      <c r="O42" s="170"/>
      <c r="P42" s="170"/>
      <c r="Q42" s="170"/>
      <c r="R42" s="170"/>
      <c r="S42" s="170"/>
      <c r="T42" s="170"/>
      <c r="U42" s="170"/>
      <c r="V42" s="170"/>
      <c r="W42" s="170"/>
      <c r="X42" s="171"/>
      <c r="Y42" s="168">
        <f>COUNT(E42:X42)</f>
        <v>1</v>
      </c>
      <c r="Z42" s="172">
        <f>IF(Y42&lt;9,SUM(E42:X42),SUM(LARGE(E42:X42,1),LARGE(E42:X42,2),LARGE(E42:X42,3),LARGE(E42:X42,4),LARGE(E42:X42,5),LARGE(E42:X42,6),LARGE(E42:X42,7),LARGE(E42:X42,8),LARGE(E42:X42,9)))</f>
        <v>21</v>
      </c>
    </row>
    <row r="43" ht="15.75" thickTop="1"/>
  </sheetData>
  <sheetProtection/>
  <mergeCells count="4">
    <mergeCell ref="B7:C7"/>
    <mergeCell ref="Y7:Y9"/>
    <mergeCell ref="Z7:Z9"/>
    <mergeCell ref="T2:Y2"/>
  </mergeCells>
  <conditionalFormatting sqref="Y40:Y42 Y10:Y34">
    <cfRule type="cellIs" priority="6" dxfId="0" operator="greaterThan" stopIfTrue="1">
      <formula>9</formula>
    </cfRule>
  </conditionalFormatting>
  <conditionalFormatting sqref="E40:X42 E10:X34">
    <cfRule type="cellIs" priority="7" dxfId="8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35">
      <selection activeCell="H52" sqref="H52"/>
    </sheetView>
  </sheetViews>
  <sheetFormatPr defaultColWidth="9.140625" defaultRowHeight="15"/>
  <cols>
    <col min="2" max="2" width="10.7109375" style="0" bestFit="1" customWidth="1"/>
    <col min="3" max="3" width="11.57421875" style="0" bestFit="1" customWidth="1"/>
    <col min="7" max="7" width="10.7109375" style="0" bestFit="1" customWidth="1"/>
    <col min="8" max="8" width="12.7109375" style="0" bestFit="1" customWidth="1"/>
  </cols>
  <sheetData>
    <row r="1" spans="1:7" ht="18">
      <c r="A1" s="246" t="s">
        <v>577</v>
      </c>
      <c r="D1" s="379"/>
      <c r="G1" s="344"/>
    </row>
    <row r="2" spans="1:7" ht="18">
      <c r="A2" s="246"/>
      <c r="D2" s="379"/>
      <c r="G2" s="344"/>
    </row>
    <row r="3" spans="1:10" ht="15">
      <c r="A3" s="230"/>
      <c r="D3" s="379"/>
      <c r="G3" s="347" t="s">
        <v>566</v>
      </c>
      <c r="H3" s="346"/>
      <c r="I3" s="346"/>
      <c r="J3" s="347" t="s">
        <v>578</v>
      </c>
    </row>
    <row r="4" spans="1:10" s="251" customFormat="1" ht="18" customHeight="1">
      <c r="A4" s="247"/>
      <c r="B4" s="248"/>
      <c r="C4" s="247"/>
      <c r="D4" s="348"/>
      <c r="G4" s="347" t="s">
        <v>567</v>
      </c>
      <c r="H4" s="346"/>
      <c r="I4" s="346"/>
      <c r="J4" s="347" t="s">
        <v>579</v>
      </c>
    </row>
    <row r="5" spans="1:10" s="251" customFormat="1" ht="18" customHeight="1">
      <c r="A5" s="246"/>
      <c r="B5" s="248"/>
      <c r="C5" s="247"/>
      <c r="D5" s="348"/>
      <c r="G5" s="345" t="s">
        <v>454</v>
      </c>
      <c r="H5" s="346"/>
      <c r="I5" s="346"/>
      <c r="J5" s="345" t="s">
        <v>454</v>
      </c>
    </row>
    <row r="6" spans="1:10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  <c r="J6" s="345" t="s">
        <v>477</v>
      </c>
    </row>
    <row r="7" spans="1:10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  <c r="J7" s="345" t="s">
        <v>349</v>
      </c>
    </row>
    <row r="8" spans="1:10" ht="15">
      <c r="A8" s="385">
        <v>1</v>
      </c>
      <c r="B8" t="s">
        <v>67</v>
      </c>
      <c r="C8" t="s">
        <v>398</v>
      </c>
      <c r="D8" s="387">
        <v>0.020243055555555556</v>
      </c>
      <c r="E8" s="231"/>
      <c r="F8" s="231"/>
      <c r="G8" s="386"/>
      <c r="H8" s="385"/>
      <c r="J8" s="388"/>
    </row>
    <row r="9" spans="1:10" s="15" customFormat="1" ht="15">
      <c r="A9" s="295">
        <v>2</v>
      </c>
      <c r="B9" s="296" t="s">
        <v>218</v>
      </c>
      <c r="C9" s="296" t="s">
        <v>30</v>
      </c>
      <c r="D9" s="297">
        <v>0.02193287037037037</v>
      </c>
      <c r="E9" s="298">
        <v>1</v>
      </c>
      <c r="F9" s="298">
        <v>30</v>
      </c>
      <c r="G9" s="387">
        <v>0.024745370370370372</v>
      </c>
      <c r="H9" s="352">
        <f>+D9/G9</f>
        <v>0.8863423760523853</v>
      </c>
      <c r="I9" s="15">
        <v>93</v>
      </c>
      <c r="J9" s="353">
        <v>0.024050925925925927</v>
      </c>
    </row>
    <row r="10" spans="1:10" s="15" customFormat="1" ht="15">
      <c r="A10" s="295">
        <v>3</v>
      </c>
      <c r="B10" s="296" t="s">
        <v>427</v>
      </c>
      <c r="C10" s="296" t="s">
        <v>426</v>
      </c>
      <c r="D10" s="297">
        <v>0.02225694444444444</v>
      </c>
      <c r="E10" s="298">
        <v>2</v>
      </c>
      <c r="F10" s="298">
        <v>29</v>
      </c>
      <c r="G10" s="387">
        <v>0.023703703703703703</v>
      </c>
      <c r="H10" s="352">
        <f>+D10/G10</f>
        <v>0.9389648437499999</v>
      </c>
      <c r="I10" s="15">
        <v>67</v>
      </c>
      <c r="J10" s="353">
        <v>0.024305555555555556</v>
      </c>
    </row>
    <row r="11" spans="1:10" s="15" customFormat="1" ht="15">
      <c r="A11" s="295">
        <v>4</v>
      </c>
      <c r="B11" s="296" t="s">
        <v>31</v>
      </c>
      <c r="C11" s="296" t="s">
        <v>310</v>
      </c>
      <c r="D11" s="297">
        <v>0.022650462962962963</v>
      </c>
      <c r="E11" s="298">
        <v>3</v>
      </c>
      <c r="F11" s="298">
        <v>28</v>
      </c>
      <c r="G11" s="387">
        <v>0.025578703703703704</v>
      </c>
      <c r="H11" s="352">
        <f>+D11/G11</f>
        <v>0.8855203619909502</v>
      </c>
      <c r="I11" s="15">
        <v>95</v>
      </c>
      <c r="J11" s="353">
        <v>0.024780092592592593</v>
      </c>
    </row>
    <row r="12" spans="1:10" ht="15">
      <c r="A12" s="385">
        <v>5</v>
      </c>
      <c r="B12" t="s">
        <v>317</v>
      </c>
      <c r="C12" t="s">
        <v>428</v>
      </c>
      <c r="D12" s="387">
        <v>0.023368055555555555</v>
      </c>
      <c r="E12" s="231"/>
      <c r="F12" s="231"/>
      <c r="G12" s="387"/>
      <c r="H12" s="352"/>
      <c r="J12" s="388"/>
    </row>
    <row r="13" spans="1:10" s="15" customFormat="1" ht="15">
      <c r="A13" s="295">
        <v>6</v>
      </c>
      <c r="B13" s="296" t="s">
        <v>52</v>
      </c>
      <c r="C13" s="296" t="s">
        <v>274</v>
      </c>
      <c r="D13" s="297">
        <v>0.023506944444444445</v>
      </c>
      <c r="E13" s="298">
        <v>4</v>
      </c>
      <c r="F13" s="298">
        <v>27</v>
      </c>
      <c r="G13" s="387">
        <v>0.02579861111111111</v>
      </c>
      <c r="H13" s="352">
        <f aca="true" t="shared" si="0" ref="H13:H42">+D13/G13</f>
        <v>0.911170928667564</v>
      </c>
      <c r="I13" s="15">
        <v>84</v>
      </c>
      <c r="J13" s="353">
        <v>0.025555555555555554</v>
      </c>
    </row>
    <row r="14" spans="1:10" s="15" customFormat="1" ht="15">
      <c r="A14" s="295">
        <v>7</v>
      </c>
      <c r="B14" s="296" t="s">
        <v>347</v>
      </c>
      <c r="C14" s="296" t="s">
        <v>348</v>
      </c>
      <c r="D14" s="297">
        <v>0.023611111111111114</v>
      </c>
      <c r="E14" s="298">
        <v>5</v>
      </c>
      <c r="F14" s="298">
        <v>26</v>
      </c>
      <c r="G14" s="387">
        <v>0.02664351851851852</v>
      </c>
      <c r="H14" s="352">
        <f t="shared" si="0"/>
        <v>0.8861859252823632</v>
      </c>
      <c r="I14" s="15">
        <v>94</v>
      </c>
      <c r="J14" s="353">
        <v>0.025891203703703708</v>
      </c>
    </row>
    <row r="15" spans="1:10" s="15" customFormat="1" ht="15">
      <c r="A15" s="295">
        <v>8</v>
      </c>
      <c r="B15" s="296" t="s">
        <v>31</v>
      </c>
      <c r="C15" s="296" t="s">
        <v>32</v>
      </c>
      <c r="D15" s="297">
        <v>0.02375</v>
      </c>
      <c r="E15" s="298">
        <v>6</v>
      </c>
      <c r="F15" s="298">
        <v>25</v>
      </c>
      <c r="G15" s="387">
        <v>0.025381944444444443</v>
      </c>
      <c r="H15" s="352">
        <f t="shared" si="0"/>
        <v>0.9357045143638851</v>
      </c>
      <c r="I15" s="15">
        <v>70</v>
      </c>
      <c r="J15" s="353">
        <v>0.025833333333333333</v>
      </c>
    </row>
    <row r="16" spans="1:10" s="15" customFormat="1" ht="15">
      <c r="A16" s="295">
        <v>9</v>
      </c>
      <c r="B16" s="296" t="s">
        <v>408</v>
      </c>
      <c r="C16" s="296" t="s">
        <v>420</v>
      </c>
      <c r="D16" s="297">
        <v>0.024444444444444446</v>
      </c>
      <c r="E16" s="298">
        <v>7</v>
      </c>
      <c r="F16" s="298">
        <v>24</v>
      </c>
      <c r="G16" s="387">
        <v>0.026064814814814815</v>
      </c>
      <c r="H16" s="352">
        <f t="shared" si="0"/>
        <v>0.9378330373001776</v>
      </c>
      <c r="I16" s="15">
        <v>69</v>
      </c>
      <c r="J16" s="353">
        <v>0.0265625</v>
      </c>
    </row>
    <row r="17" spans="1:10" s="15" customFormat="1" ht="15">
      <c r="A17" s="299">
        <v>10</v>
      </c>
      <c r="B17" s="300" t="s">
        <v>243</v>
      </c>
      <c r="C17" s="300" t="s">
        <v>275</v>
      </c>
      <c r="D17" s="301">
        <v>0.025648148148148146</v>
      </c>
      <c r="E17" s="302">
        <v>1</v>
      </c>
      <c r="F17" s="302">
        <v>30</v>
      </c>
      <c r="G17" s="387">
        <v>0.029282407407407406</v>
      </c>
      <c r="H17" s="352">
        <f t="shared" si="0"/>
        <v>0.875889328063241</v>
      </c>
      <c r="I17" s="15">
        <v>99</v>
      </c>
      <c r="J17" s="353">
        <v>0.028287037037037034</v>
      </c>
    </row>
    <row r="18" spans="1:10" s="15" customFormat="1" ht="15">
      <c r="A18" s="303">
        <v>11</v>
      </c>
      <c r="B18" s="304" t="s">
        <v>63</v>
      </c>
      <c r="C18" s="304" t="s">
        <v>64</v>
      </c>
      <c r="D18" s="305">
        <v>0.026122685185185186</v>
      </c>
      <c r="E18" s="306">
        <v>1</v>
      </c>
      <c r="F18" s="306">
        <v>30</v>
      </c>
      <c r="G18" s="387">
        <v>0.027627314814814813</v>
      </c>
      <c r="H18" s="352">
        <f t="shared" si="0"/>
        <v>0.9455383326351069</v>
      </c>
      <c r="I18" s="15">
        <v>62</v>
      </c>
      <c r="J18" s="353">
        <v>0.02847222222222222</v>
      </c>
    </row>
    <row r="19" spans="1:10" s="15" customFormat="1" ht="15">
      <c r="A19" s="299">
        <v>12</v>
      </c>
      <c r="B19" s="300" t="s">
        <v>187</v>
      </c>
      <c r="C19" s="300" t="s">
        <v>88</v>
      </c>
      <c r="D19" s="301">
        <v>0.027395833333333335</v>
      </c>
      <c r="E19" s="302">
        <v>2</v>
      </c>
      <c r="F19" s="302">
        <v>29</v>
      </c>
      <c r="G19" s="387">
        <v>0.02991898148148148</v>
      </c>
      <c r="H19" s="352">
        <f t="shared" si="0"/>
        <v>0.9156673114119923</v>
      </c>
      <c r="I19" s="15">
        <v>82</v>
      </c>
      <c r="J19" s="353">
        <v>0.029768518518518517</v>
      </c>
    </row>
    <row r="20" spans="1:10" s="15" customFormat="1" ht="15">
      <c r="A20" s="299">
        <v>13</v>
      </c>
      <c r="B20" s="300" t="s">
        <v>63</v>
      </c>
      <c r="C20" s="300" t="s">
        <v>110</v>
      </c>
      <c r="D20" s="301">
        <v>0.027453703703703702</v>
      </c>
      <c r="E20" s="302">
        <v>3</v>
      </c>
      <c r="F20" s="302">
        <v>28</v>
      </c>
      <c r="G20" s="387">
        <v>0.02954861111111111</v>
      </c>
      <c r="H20" s="352">
        <f t="shared" si="0"/>
        <v>0.9291030160595378</v>
      </c>
      <c r="I20" s="15">
        <v>73</v>
      </c>
      <c r="J20" s="353">
        <v>0.029849537037037036</v>
      </c>
    </row>
    <row r="21" spans="1:10" s="15" customFormat="1" ht="15">
      <c r="A21" s="307">
        <v>14</v>
      </c>
      <c r="B21" s="308" t="s">
        <v>259</v>
      </c>
      <c r="C21" s="308" t="s">
        <v>256</v>
      </c>
      <c r="D21" s="309">
        <v>0.027604166666666666</v>
      </c>
      <c r="E21" s="310">
        <v>1</v>
      </c>
      <c r="F21" s="310">
        <v>30</v>
      </c>
      <c r="G21" s="387">
        <v>0.030416666666666665</v>
      </c>
      <c r="H21" s="352">
        <f t="shared" si="0"/>
        <v>0.9075342465753425</v>
      </c>
      <c r="I21" s="15">
        <v>87</v>
      </c>
      <c r="J21" s="353">
        <v>0.030023148148148146</v>
      </c>
    </row>
    <row r="22" spans="1:10" s="15" customFormat="1" ht="15">
      <c r="A22" s="299">
        <v>15</v>
      </c>
      <c r="B22" s="300" t="s">
        <v>321</v>
      </c>
      <c r="C22" s="300" t="s">
        <v>132</v>
      </c>
      <c r="D22" s="301">
        <v>0.027754629629629633</v>
      </c>
      <c r="E22" s="302">
        <v>4</v>
      </c>
      <c r="F22" s="302">
        <v>27</v>
      </c>
      <c r="G22" s="387">
        <v>0.031203703703703702</v>
      </c>
      <c r="H22" s="352">
        <f t="shared" si="0"/>
        <v>0.88946587537092</v>
      </c>
      <c r="I22" s="15">
        <v>92</v>
      </c>
      <c r="J22" s="353">
        <v>0.030555555555555555</v>
      </c>
    </row>
    <row r="23" spans="1:10" s="15" customFormat="1" ht="15">
      <c r="A23" s="299">
        <v>16</v>
      </c>
      <c r="B23" s="300" t="s">
        <v>115</v>
      </c>
      <c r="C23" s="300" t="s">
        <v>116</v>
      </c>
      <c r="D23" s="301">
        <v>0.028148148148148148</v>
      </c>
      <c r="E23" s="302">
        <v>5</v>
      </c>
      <c r="F23" s="302">
        <v>26</v>
      </c>
      <c r="G23" s="387">
        <v>0.029965277777777775</v>
      </c>
      <c r="H23" s="352">
        <f t="shared" si="0"/>
        <v>0.9393588258014678</v>
      </c>
      <c r="I23" s="15">
        <v>66</v>
      </c>
      <c r="J23" s="353">
        <v>0.030613425925925922</v>
      </c>
    </row>
    <row r="24" spans="1:10" s="15" customFormat="1" ht="15">
      <c r="A24" s="299">
        <v>17</v>
      </c>
      <c r="B24" s="300" t="s">
        <v>320</v>
      </c>
      <c r="C24" s="300" t="s">
        <v>310</v>
      </c>
      <c r="D24" s="301">
        <v>0.02826388888888889</v>
      </c>
      <c r="E24" s="302">
        <v>6</v>
      </c>
      <c r="F24" s="302">
        <v>25</v>
      </c>
      <c r="G24" s="387">
        <v>0.03079861111111111</v>
      </c>
      <c r="H24" s="352">
        <f t="shared" si="0"/>
        <v>0.9177001127395716</v>
      </c>
      <c r="I24" s="15">
        <v>80</v>
      </c>
      <c r="J24" s="353">
        <v>0.030752314814814812</v>
      </c>
    </row>
    <row r="25" spans="1:10" s="15" customFormat="1" ht="15">
      <c r="A25" s="307">
        <v>18</v>
      </c>
      <c r="B25" s="308" t="s">
        <v>276</v>
      </c>
      <c r="C25" s="308" t="s">
        <v>38</v>
      </c>
      <c r="D25" s="309">
        <v>0.028530092592592593</v>
      </c>
      <c r="E25" s="310">
        <v>2</v>
      </c>
      <c r="F25" s="310">
        <v>29</v>
      </c>
      <c r="G25" s="387">
        <v>0.03252314814814815</v>
      </c>
      <c r="H25" s="352">
        <f t="shared" si="0"/>
        <v>0.8772241992882562</v>
      </c>
      <c r="I25" s="15">
        <v>97</v>
      </c>
      <c r="J25" s="353">
        <v>0.03162037037037037</v>
      </c>
    </row>
    <row r="26" spans="1:10" s="15" customFormat="1" ht="15">
      <c r="A26" s="299">
        <v>19</v>
      </c>
      <c r="B26" s="300" t="s">
        <v>220</v>
      </c>
      <c r="C26" s="300" t="s">
        <v>354</v>
      </c>
      <c r="D26" s="301">
        <v>0.02858796296296296</v>
      </c>
      <c r="E26" s="302">
        <v>7</v>
      </c>
      <c r="F26" s="302">
        <v>24</v>
      </c>
      <c r="G26" s="387">
        <v>0.03074074074074074</v>
      </c>
      <c r="H26" s="352">
        <f t="shared" si="0"/>
        <v>0.9299698795180723</v>
      </c>
      <c r="I26" s="15">
        <v>72</v>
      </c>
      <c r="J26" s="353">
        <v>0.03108796296296296</v>
      </c>
    </row>
    <row r="27" spans="1:10" s="15" customFormat="1" ht="15">
      <c r="A27" s="307">
        <v>20</v>
      </c>
      <c r="B27" s="308" t="s">
        <v>189</v>
      </c>
      <c r="C27" s="308" t="s">
        <v>162</v>
      </c>
      <c r="D27" s="309">
        <v>0.02886574074074074</v>
      </c>
      <c r="E27" s="310">
        <v>3</v>
      </c>
      <c r="F27" s="310">
        <v>28</v>
      </c>
      <c r="G27" s="387">
        <v>0.03210648148148148</v>
      </c>
      <c r="H27" s="352">
        <f t="shared" si="0"/>
        <v>0.8990627253064168</v>
      </c>
      <c r="I27" s="15">
        <v>89</v>
      </c>
      <c r="J27" s="353">
        <v>0.031608796296296295</v>
      </c>
    </row>
    <row r="28" spans="1:10" s="15" customFormat="1" ht="15">
      <c r="A28" s="299">
        <v>21</v>
      </c>
      <c r="B28" s="300" t="s">
        <v>353</v>
      </c>
      <c r="C28" s="300" t="s">
        <v>95</v>
      </c>
      <c r="D28" s="301">
        <v>0.02896990740740741</v>
      </c>
      <c r="E28" s="302">
        <v>8</v>
      </c>
      <c r="F28" s="302">
        <v>23</v>
      </c>
      <c r="G28" s="387">
        <v>0.031111111111111107</v>
      </c>
      <c r="H28" s="352">
        <f t="shared" si="0"/>
        <v>0.9311755952380955</v>
      </c>
      <c r="I28" s="15">
        <v>71</v>
      </c>
      <c r="J28" s="353">
        <v>0.031504629629629625</v>
      </c>
    </row>
    <row r="29" spans="1:10" s="15" customFormat="1" ht="15">
      <c r="A29" s="307">
        <v>22</v>
      </c>
      <c r="B29" s="308" t="s">
        <v>103</v>
      </c>
      <c r="C29" s="308" t="s">
        <v>104</v>
      </c>
      <c r="D29" s="309">
        <v>0.03040509259259259</v>
      </c>
      <c r="E29" s="310">
        <v>4</v>
      </c>
      <c r="F29" s="310">
        <v>27</v>
      </c>
      <c r="G29" s="387">
        <v>0.03222222222222222</v>
      </c>
      <c r="H29" s="352">
        <f t="shared" si="0"/>
        <v>0.9436063218390804</v>
      </c>
      <c r="I29" s="15">
        <v>63</v>
      </c>
      <c r="J29" s="353">
        <v>0.03302083333333333</v>
      </c>
    </row>
    <row r="30" spans="1:10" s="15" customFormat="1" ht="15">
      <c r="A30" s="307">
        <v>23</v>
      </c>
      <c r="B30" s="308" t="s">
        <v>305</v>
      </c>
      <c r="C30" s="308" t="s">
        <v>306</v>
      </c>
      <c r="D30" s="309">
        <v>0.030729166666666665</v>
      </c>
      <c r="E30" s="310">
        <v>5</v>
      </c>
      <c r="F30" s="310">
        <v>26</v>
      </c>
      <c r="G30" s="387">
        <v>0.03484953703703703</v>
      </c>
      <c r="H30" s="352">
        <f t="shared" si="0"/>
        <v>0.8817668548654932</v>
      </c>
      <c r="I30" s="15">
        <v>96</v>
      </c>
      <c r="J30" s="353">
        <v>0.03400462962962963</v>
      </c>
    </row>
    <row r="31" spans="1:10" s="15" customFormat="1" ht="15">
      <c r="A31" s="307">
        <v>24</v>
      </c>
      <c r="B31" s="308" t="s">
        <v>467</v>
      </c>
      <c r="C31" s="308" t="s">
        <v>135</v>
      </c>
      <c r="D31" s="309">
        <v>0.030763888888888886</v>
      </c>
      <c r="E31" s="310">
        <v>6</v>
      </c>
      <c r="F31" s="310">
        <v>25</v>
      </c>
      <c r="G31" s="387">
        <v>0.033854166666666664</v>
      </c>
      <c r="H31" s="352">
        <f t="shared" si="0"/>
        <v>0.9087179487179486</v>
      </c>
      <c r="I31" s="15">
        <v>85</v>
      </c>
      <c r="J31" s="353">
        <v>0.03355324074074074</v>
      </c>
    </row>
    <row r="32" spans="1:10" s="15" customFormat="1" ht="15">
      <c r="A32" s="307">
        <v>25</v>
      </c>
      <c r="B32" s="308" t="s">
        <v>527</v>
      </c>
      <c r="C32" s="308" t="s">
        <v>122</v>
      </c>
      <c r="D32" s="309">
        <v>0.031064814814814816</v>
      </c>
      <c r="E32" s="310">
        <v>7</v>
      </c>
      <c r="F32" s="310">
        <v>24</v>
      </c>
      <c r="G32" s="387">
        <v>0.0337037037037037</v>
      </c>
      <c r="H32" s="352">
        <f t="shared" si="0"/>
        <v>0.9217032967032968</v>
      </c>
      <c r="I32" s="15">
        <v>77</v>
      </c>
      <c r="J32" s="353">
        <v>0.033796296296296297</v>
      </c>
    </row>
    <row r="33" spans="1:10" s="15" customFormat="1" ht="15">
      <c r="A33" s="256">
        <v>26</v>
      </c>
      <c r="B33" s="257" t="s">
        <v>139</v>
      </c>
      <c r="C33" s="257" t="s">
        <v>140</v>
      </c>
      <c r="D33" s="311">
        <v>0.031435185185185184</v>
      </c>
      <c r="E33" s="312">
        <v>1</v>
      </c>
      <c r="F33" s="312">
        <v>30</v>
      </c>
      <c r="G33" s="387">
        <v>0.03584490740740741</v>
      </c>
      <c r="H33" s="352">
        <f t="shared" si="0"/>
        <v>0.876977720374556</v>
      </c>
      <c r="I33" s="15">
        <v>98</v>
      </c>
      <c r="J33" s="353">
        <v>0.034895833333333334</v>
      </c>
    </row>
    <row r="34" spans="1:10" s="15" customFormat="1" ht="15">
      <c r="A34" s="307">
        <v>27</v>
      </c>
      <c r="B34" s="308" t="s">
        <v>218</v>
      </c>
      <c r="C34" s="308" t="s">
        <v>393</v>
      </c>
      <c r="D34" s="309">
        <v>0.031886574074074074</v>
      </c>
      <c r="E34" s="310">
        <v>8</v>
      </c>
      <c r="F34" s="310">
        <v>23</v>
      </c>
      <c r="G34" s="387">
        <v>0.03462962962962963</v>
      </c>
      <c r="H34" s="352">
        <f t="shared" si="0"/>
        <v>0.9207887700534759</v>
      </c>
      <c r="I34" s="15">
        <v>78</v>
      </c>
      <c r="J34" s="353">
        <v>0.03467592592592592</v>
      </c>
    </row>
    <row r="35" spans="1:10" s="15" customFormat="1" ht="15">
      <c r="A35" s="256">
        <v>28</v>
      </c>
      <c r="B35" s="257" t="s">
        <v>468</v>
      </c>
      <c r="C35" s="257" t="s">
        <v>359</v>
      </c>
      <c r="D35" s="311">
        <v>0.03211805555555555</v>
      </c>
      <c r="E35" s="312">
        <v>2</v>
      </c>
      <c r="F35" s="312">
        <v>29</v>
      </c>
      <c r="G35" s="387">
        <v>0.0350462962962963</v>
      </c>
      <c r="H35" s="352">
        <f t="shared" si="0"/>
        <v>0.9164464993394978</v>
      </c>
      <c r="I35" s="15">
        <v>81</v>
      </c>
      <c r="J35" s="353">
        <v>0.0349537037037037</v>
      </c>
    </row>
    <row r="36" spans="1:10" s="15" customFormat="1" ht="15">
      <c r="A36" s="256">
        <v>29</v>
      </c>
      <c r="B36" s="257" t="s">
        <v>317</v>
      </c>
      <c r="C36" s="257" t="s">
        <v>116</v>
      </c>
      <c r="D36" s="311">
        <v>0.032326388888888884</v>
      </c>
      <c r="E36" s="312">
        <v>3</v>
      </c>
      <c r="F36" s="312">
        <v>28</v>
      </c>
      <c r="G36" s="387">
        <v>0.035451388888888886</v>
      </c>
      <c r="H36" s="352">
        <f t="shared" si="0"/>
        <v>0.9118511263467188</v>
      </c>
      <c r="I36" s="15">
        <v>83</v>
      </c>
      <c r="J36" s="353">
        <v>0.03525462962962963</v>
      </c>
    </row>
    <row r="37" spans="1:10" s="15" customFormat="1" ht="15">
      <c r="A37" s="256">
        <v>30</v>
      </c>
      <c r="B37" s="257" t="s">
        <v>33</v>
      </c>
      <c r="C37" s="257" t="s">
        <v>123</v>
      </c>
      <c r="D37" s="311">
        <v>0.03256944444444444</v>
      </c>
      <c r="E37" s="312">
        <v>4</v>
      </c>
      <c r="F37" s="312">
        <v>27</v>
      </c>
      <c r="G37" s="387">
        <v>0.034722222222222224</v>
      </c>
      <c r="H37" s="352">
        <f t="shared" si="0"/>
        <v>0.938</v>
      </c>
      <c r="I37" s="15">
        <v>68</v>
      </c>
      <c r="J37" s="353">
        <v>0.0352662037037037</v>
      </c>
    </row>
    <row r="38" spans="1:10" s="15" customFormat="1" ht="15">
      <c r="A38" s="307">
        <v>31</v>
      </c>
      <c r="B38" s="308" t="s">
        <v>316</v>
      </c>
      <c r="C38" s="308" t="s">
        <v>315</v>
      </c>
      <c r="D38" s="309">
        <v>0.032824074074074075</v>
      </c>
      <c r="E38" s="310">
        <v>9</v>
      </c>
      <c r="F38" s="310">
        <v>22</v>
      </c>
      <c r="G38" s="387">
        <v>0.03387731481481481</v>
      </c>
      <c r="H38" s="352">
        <f t="shared" si="0"/>
        <v>0.9689101469080972</v>
      </c>
      <c r="I38" s="15">
        <v>60</v>
      </c>
      <c r="J38" s="353">
        <v>0.034826388888888886</v>
      </c>
    </row>
    <row r="39" spans="1:10" s="15" customFormat="1" ht="15">
      <c r="A39" s="256">
        <v>32</v>
      </c>
      <c r="B39" s="257" t="s">
        <v>187</v>
      </c>
      <c r="C39" s="257" t="s">
        <v>374</v>
      </c>
      <c r="D39" s="311">
        <v>0.033125</v>
      </c>
      <c r="E39" s="312">
        <v>5</v>
      </c>
      <c r="F39" s="312">
        <v>26</v>
      </c>
      <c r="G39" s="387">
        <v>0.03517361111111111</v>
      </c>
      <c r="H39" s="352">
        <f t="shared" si="0"/>
        <v>0.9417571569595263</v>
      </c>
      <c r="I39" s="15">
        <v>64</v>
      </c>
      <c r="J39" s="353">
        <v>0.035925925925925924</v>
      </c>
    </row>
    <row r="40" spans="1:10" s="15" customFormat="1" ht="15">
      <c r="A40" s="256">
        <v>33</v>
      </c>
      <c r="B40" s="257" t="s">
        <v>366</v>
      </c>
      <c r="C40" s="257" t="s">
        <v>365</v>
      </c>
      <c r="D40" s="311">
        <v>0.033553240740740745</v>
      </c>
      <c r="E40" s="312">
        <v>6</v>
      </c>
      <c r="F40" s="312">
        <v>25</v>
      </c>
      <c r="G40" s="387">
        <v>0.036273148148148145</v>
      </c>
      <c r="H40" s="352">
        <f t="shared" si="0"/>
        <v>0.9250159540523295</v>
      </c>
      <c r="I40" s="15">
        <v>74</v>
      </c>
      <c r="J40" s="353">
        <v>0.036516203703703703</v>
      </c>
    </row>
    <row r="41" spans="1:10" s="15" customFormat="1" ht="15">
      <c r="A41" s="256">
        <v>34</v>
      </c>
      <c r="B41" s="257" t="s">
        <v>96</v>
      </c>
      <c r="C41" s="257" t="s">
        <v>296</v>
      </c>
      <c r="D41" s="311">
        <v>0.034791666666666665</v>
      </c>
      <c r="E41" s="312">
        <v>7</v>
      </c>
      <c r="F41" s="312">
        <v>24</v>
      </c>
      <c r="G41" s="387">
        <v>0.03851851851851852</v>
      </c>
      <c r="H41" s="352">
        <f t="shared" si="0"/>
        <v>0.9032451923076922</v>
      </c>
      <c r="I41" s="15">
        <v>88</v>
      </c>
      <c r="J41" s="353">
        <v>0.03806712962962963</v>
      </c>
    </row>
    <row r="42" spans="1:10" s="15" customFormat="1" ht="15">
      <c r="A42" s="303">
        <v>35</v>
      </c>
      <c r="B42" s="304" t="s">
        <v>31</v>
      </c>
      <c r="C42" s="304" t="s">
        <v>75</v>
      </c>
      <c r="D42" s="305">
        <v>0.035</v>
      </c>
      <c r="E42" s="306">
        <v>2</v>
      </c>
      <c r="F42" s="306">
        <v>29</v>
      </c>
      <c r="G42" s="387">
        <v>0.032650462962962964</v>
      </c>
      <c r="H42" s="352">
        <f t="shared" si="0"/>
        <v>1.0719602977667495</v>
      </c>
      <c r="I42" s="15">
        <v>58</v>
      </c>
      <c r="J42" s="353">
        <v>0.033692129629629634</v>
      </c>
    </row>
    <row r="43" spans="1:10" ht="15">
      <c r="A43" s="385">
        <v>36</v>
      </c>
      <c r="B43" t="s">
        <v>366</v>
      </c>
      <c r="C43" t="s">
        <v>110</v>
      </c>
      <c r="D43" s="387">
        <v>0.03606481481481481</v>
      </c>
      <c r="E43" s="231"/>
      <c r="F43" s="231"/>
      <c r="G43" s="387"/>
      <c r="H43" s="352"/>
      <c r="J43" s="388"/>
    </row>
    <row r="44" spans="1:10" s="15" customFormat="1" ht="15">
      <c r="A44" s="317">
        <v>37</v>
      </c>
      <c r="B44" s="318" t="s">
        <v>189</v>
      </c>
      <c r="C44" s="318" t="s">
        <v>135</v>
      </c>
      <c r="D44" s="319">
        <v>0.03608796296296297</v>
      </c>
      <c r="E44" s="320">
        <v>1</v>
      </c>
      <c r="F44" s="320">
        <v>30</v>
      </c>
      <c r="G44" s="387">
        <v>0.041493055555555554</v>
      </c>
      <c r="H44" s="352">
        <f aca="true" t="shared" si="1" ref="H44:H53">+D44/G44</f>
        <v>0.8697350069735008</v>
      </c>
      <c r="I44" s="15">
        <v>100</v>
      </c>
      <c r="J44" s="353">
        <v>0.040451388888888884</v>
      </c>
    </row>
    <row r="45" spans="1:10" s="15" customFormat="1" ht="15">
      <c r="A45" s="317">
        <v>38</v>
      </c>
      <c r="B45" s="318" t="s">
        <v>218</v>
      </c>
      <c r="C45" s="318" t="s">
        <v>292</v>
      </c>
      <c r="D45" s="319">
        <v>0.038078703703703705</v>
      </c>
      <c r="E45" s="320">
        <v>2</v>
      </c>
      <c r="F45" s="320">
        <v>29</v>
      </c>
      <c r="G45" s="387">
        <v>0.041944444444444444</v>
      </c>
      <c r="H45" s="352">
        <f t="shared" si="1"/>
        <v>0.9078366445916115</v>
      </c>
      <c r="I45" s="15">
        <v>86</v>
      </c>
      <c r="J45" s="353">
        <v>0.04159722222222222</v>
      </c>
    </row>
    <row r="46" spans="1:10" s="15" customFormat="1" ht="15">
      <c r="A46" s="317">
        <v>39</v>
      </c>
      <c r="B46" s="318" t="s">
        <v>224</v>
      </c>
      <c r="C46" s="318" t="s">
        <v>263</v>
      </c>
      <c r="D46" s="319">
        <v>0.03832175925925926</v>
      </c>
      <c r="E46" s="320">
        <v>3</v>
      </c>
      <c r="F46" s="320">
        <v>28</v>
      </c>
      <c r="G46" s="387">
        <v>0.042743055555555555</v>
      </c>
      <c r="H46" s="352">
        <f t="shared" si="1"/>
        <v>0.8965610614676415</v>
      </c>
      <c r="I46" s="15">
        <v>90</v>
      </c>
      <c r="J46" s="353">
        <v>0.042199074074074076</v>
      </c>
    </row>
    <row r="47" spans="1:10" s="15" customFormat="1" ht="15">
      <c r="A47" s="317">
        <v>40</v>
      </c>
      <c r="B47" s="318" t="s">
        <v>381</v>
      </c>
      <c r="C47" s="318" t="s">
        <v>200</v>
      </c>
      <c r="D47" s="319">
        <v>0.039375</v>
      </c>
      <c r="E47" s="320">
        <v>4</v>
      </c>
      <c r="F47" s="320">
        <v>27</v>
      </c>
      <c r="G47" s="387">
        <v>0.040775462962962965</v>
      </c>
      <c r="H47" s="352">
        <f t="shared" si="1"/>
        <v>0.9656542719273347</v>
      </c>
      <c r="I47" s="15">
        <v>61</v>
      </c>
      <c r="J47" s="353">
        <v>0.041678240740740745</v>
      </c>
    </row>
    <row r="48" spans="1:10" s="15" customFormat="1" ht="15">
      <c r="A48" s="317">
        <v>41</v>
      </c>
      <c r="B48" s="318" t="s">
        <v>234</v>
      </c>
      <c r="C48" s="318" t="s">
        <v>230</v>
      </c>
      <c r="D48" s="319">
        <v>0.03979166666666667</v>
      </c>
      <c r="E48" s="320">
        <v>5</v>
      </c>
      <c r="F48" s="320">
        <v>26</v>
      </c>
      <c r="G48" s="387">
        <v>0.04329861111111111</v>
      </c>
      <c r="H48" s="352">
        <f t="shared" si="1"/>
        <v>0.9190056134723338</v>
      </c>
      <c r="I48" s="15">
        <v>79</v>
      </c>
      <c r="J48" s="353">
        <v>0.04329861111111111</v>
      </c>
    </row>
    <row r="49" spans="1:10" s="15" customFormat="1" ht="15">
      <c r="A49" s="317">
        <v>42</v>
      </c>
      <c r="B49" s="318" t="s">
        <v>265</v>
      </c>
      <c r="C49" s="318" t="s">
        <v>264</v>
      </c>
      <c r="D49" s="319">
        <v>0.04010416666666667</v>
      </c>
      <c r="E49" s="320">
        <v>6</v>
      </c>
      <c r="F49" s="320">
        <v>25</v>
      </c>
      <c r="G49" s="387">
        <v>0.04263888888888889</v>
      </c>
      <c r="H49" s="352">
        <f t="shared" si="1"/>
        <v>0.9405537459283387</v>
      </c>
      <c r="I49" s="15">
        <v>65</v>
      </c>
      <c r="J49" s="353">
        <v>0.043333333333333335</v>
      </c>
    </row>
    <row r="50" spans="1:10" s="15" customFormat="1" ht="15">
      <c r="A50" s="317">
        <v>43</v>
      </c>
      <c r="B50" s="318" t="s">
        <v>390</v>
      </c>
      <c r="C50" s="318" t="s">
        <v>207</v>
      </c>
      <c r="D50" s="319">
        <v>0.040532407407407406</v>
      </c>
      <c r="E50" s="320">
        <v>7</v>
      </c>
      <c r="F50" s="320">
        <v>24</v>
      </c>
      <c r="G50" s="387">
        <v>0.04387731481481482</v>
      </c>
      <c r="H50" s="352">
        <f t="shared" si="1"/>
        <v>0.9237668161434976</v>
      </c>
      <c r="I50" s="15">
        <v>76</v>
      </c>
      <c r="J50" s="353">
        <v>0.044027777777777784</v>
      </c>
    </row>
    <row r="51" spans="1:10" s="15" customFormat="1" ht="15">
      <c r="A51" s="317">
        <v>44</v>
      </c>
      <c r="B51" s="318" t="s">
        <v>392</v>
      </c>
      <c r="C51" s="318" t="s">
        <v>211</v>
      </c>
      <c r="D51" s="319">
        <v>0.04072916666666667</v>
      </c>
      <c r="E51" s="320">
        <v>8</v>
      </c>
      <c r="F51" s="320">
        <v>23</v>
      </c>
      <c r="G51" s="387">
        <v>0.04560185185185186</v>
      </c>
      <c r="H51" s="352">
        <f t="shared" si="1"/>
        <v>0.8931472081218274</v>
      </c>
      <c r="I51" s="15">
        <v>91</v>
      </c>
      <c r="J51" s="353">
        <v>0.045000000000000005</v>
      </c>
    </row>
    <row r="52" spans="1:10" s="15" customFormat="1" ht="15">
      <c r="A52" s="317">
        <v>45</v>
      </c>
      <c r="B52" s="318" t="s">
        <v>245</v>
      </c>
      <c r="C52" s="318" t="s">
        <v>244</v>
      </c>
      <c r="D52" s="319">
        <v>0.044780092592592594</v>
      </c>
      <c r="E52" s="320">
        <v>9</v>
      </c>
      <c r="F52" s="320">
        <v>22</v>
      </c>
      <c r="G52" s="387">
        <v>0.04844907407407408</v>
      </c>
      <c r="H52" s="352">
        <f t="shared" si="1"/>
        <v>0.9242713807931198</v>
      </c>
      <c r="I52" s="15">
        <v>75</v>
      </c>
      <c r="J52" s="353">
        <v>0.04864583333333334</v>
      </c>
    </row>
    <row r="53" spans="1:10" s="15" customFormat="1" ht="15">
      <c r="A53" s="317">
        <v>46</v>
      </c>
      <c r="B53" s="318" t="s">
        <v>233</v>
      </c>
      <c r="C53" s="318" t="s">
        <v>212</v>
      </c>
      <c r="D53" s="319">
        <v>0.04479166666666667</v>
      </c>
      <c r="E53" s="320">
        <v>10</v>
      </c>
      <c r="F53" s="320">
        <v>21</v>
      </c>
      <c r="G53" s="387">
        <v>0.04270833333333333</v>
      </c>
      <c r="H53" s="352">
        <f t="shared" si="1"/>
        <v>1.0487804878048783</v>
      </c>
      <c r="I53" s="15">
        <v>59</v>
      </c>
      <c r="J53" s="353">
        <v>0.043703703703703696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41">
      <selection activeCell="A61" sqref="A61:IV61"/>
    </sheetView>
  </sheetViews>
  <sheetFormatPr defaultColWidth="9.140625" defaultRowHeight="15"/>
  <cols>
    <col min="1" max="1" width="8.7109375" style="248" customWidth="1"/>
    <col min="2" max="2" width="10.7109375" style="350" bestFit="1" customWidth="1"/>
    <col min="3" max="3" width="12.00390625" style="350" bestFit="1" customWidth="1"/>
    <col min="4" max="4" width="9.140625" style="350" customWidth="1"/>
    <col min="5" max="5" width="8.28125" style="350" customWidth="1"/>
    <col min="6" max="6" width="6.57421875" style="350" customWidth="1"/>
    <col min="7" max="7" width="9.57421875" style="350" customWidth="1"/>
    <col min="8" max="8" width="12.7109375" style="350" customWidth="1"/>
    <col min="9" max="9" width="9.57421875" style="350" bestFit="1" customWidth="1"/>
    <col min="10" max="10" width="10.7109375" style="350" bestFit="1" customWidth="1"/>
    <col min="11" max="16384" width="9.140625" style="350" customWidth="1"/>
  </cols>
  <sheetData>
    <row r="1" spans="1:7" ht="18">
      <c r="A1" s="246" t="s">
        <v>565</v>
      </c>
      <c r="D1" s="379"/>
      <c r="G1" s="344"/>
    </row>
    <row r="2" spans="1:10" ht="15">
      <c r="A2" s="230"/>
      <c r="D2" s="379"/>
      <c r="G2" s="347" t="s">
        <v>220</v>
      </c>
      <c r="H2" s="346"/>
      <c r="I2" s="346"/>
      <c r="J2" s="347" t="s">
        <v>566</v>
      </c>
    </row>
    <row r="3" spans="1:10" s="251" customFormat="1" ht="18" customHeight="1">
      <c r="A3" s="247"/>
      <c r="B3" s="248"/>
      <c r="C3" s="247"/>
      <c r="D3" s="348"/>
      <c r="G3" s="347" t="s">
        <v>548</v>
      </c>
      <c r="H3" s="346"/>
      <c r="I3" s="346"/>
      <c r="J3" s="347" t="s">
        <v>567</v>
      </c>
    </row>
    <row r="4" spans="1:10" s="251" customFormat="1" ht="18" customHeight="1">
      <c r="A4" s="246"/>
      <c r="B4" s="248"/>
      <c r="C4" s="247"/>
      <c r="D4" s="348"/>
      <c r="G4" s="345" t="s">
        <v>454</v>
      </c>
      <c r="H4" s="346"/>
      <c r="I4" s="346"/>
      <c r="J4" s="345" t="s">
        <v>454</v>
      </c>
    </row>
    <row r="5" spans="1:10" ht="15">
      <c r="A5" s="82" t="s">
        <v>227</v>
      </c>
      <c r="B5" s="248"/>
      <c r="C5" s="248"/>
      <c r="D5" s="349"/>
      <c r="G5" s="345" t="s">
        <v>477</v>
      </c>
      <c r="H5" s="347" t="s">
        <v>477</v>
      </c>
      <c r="I5" s="347" t="s">
        <v>477</v>
      </c>
      <c r="J5" s="345" t="s">
        <v>477</v>
      </c>
    </row>
    <row r="6" spans="1:10" ht="15">
      <c r="A6" s="254" t="s">
        <v>20</v>
      </c>
      <c r="B6" s="254" t="s">
        <v>17</v>
      </c>
      <c r="C6" s="254" t="s">
        <v>18</v>
      </c>
      <c r="D6" s="349" t="s">
        <v>349</v>
      </c>
      <c r="E6" s="80" t="s">
        <v>20</v>
      </c>
      <c r="F6" s="80" t="s">
        <v>216</v>
      </c>
      <c r="G6" s="345" t="s">
        <v>349</v>
      </c>
      <c r="H6" s="347" t="s">
        <v>478</v>
      </c>
      <c r="I6" s="351" t="s">
        <v>216</v>
      </c>
      <c r="J6" s="345" t="s">
        <v>349</v>
      </c>
    </row>
    <row r="7" spans="1:7" ht="15">
      <c r="A7" s="381">
        <v>1</v>
      </c>
      <c r="B7" s="350" t="s">
        <v>115</v>
      </c>
      <c r="C7" s="350" t="s">
        <v>552</v>
      </c>
      <c r="D7" s="382">
        <v>0.02417824074074074</v>
      </c>
      <c r="G7" s="375"/>
    </row>
    <row r="8" spans="1:10" s="15" customFormat="1" ht="15">
      <c r="A8" s="295">
        <v>2</v>
      </c>
      <c r="B8" s="296" t="s">
        <v>309</v>
      </c>
      <c r="C8" s="296" t="s">
        <v>308</v>
      </c>
      <c r="D8" s="297">
        <v>0.02631944444444444</v>
      </c>
      <c r="E8" s="298">
        <v>1</v>
      </c>
      <c r="F8" s="298">
        <v>30</v>
      </c>
      <c r="G8" s="375">
        <v>0.024652777777777777</v>
      </c>
      <c r="H8" s="352">
        <f>+D8/G8</f>
        <v>1.0676056338028168</v>
      </c>
      <c r="I8" s="15">
        <v>95</v>
      </c>
      <c r="J8" s="353">
        <v>0.023807870370370368</v>
      </c>
    </row>
    <row r="9" spans="1:10" s="15" customFormat="1" ht="15">
      <c r="A9" s="295">
        <v>3</v>
      </c>
      <c r="B9" s="296" t="s">
        <v>427</v>
      </c>
      <c r="C9" s="296" t="s">
        <v>426</v>
      </c>
      <c r="D9" s="297">
        <v>0.02642361111111111</v>
      </c>
      <c r="E9" s="298">
        <v>2</v>
      </c>
      <c r="F9" s="298">
        <v>29</v>
      </c>
      <c r="G9" s="375">
        <v>0.024363425925925927</v>
      </c>
      <c r="H9" s="352">
        <f>+D9/G9</f>
        <v>1.0845605700712588</v>
      </c>
      <c r="I9" s="15">
        <v>90</v>
      </c>
      <c r="J9" s="353">
        <v>0.023703703703703706</v>
      </c>
    </row>
    <row r="10" spans="1:7" ht="15">
      <c r="A10" s="383">
        <v>4</v>
      </c>
      <c r="B10" s="350" t="s">
        <v>187</v>
      </c>
      <c r="C10" s="350" t="s">
        <v>553</v>
      </c>
      <c r="D10" s="382">
        <v>0.027939814814814817</v>
      </c>
      <c r="G10" s="375"/>
    </row>
    <row r="11" spans="1:10" s="15" customFormat="1" ht="15">
      <c r="A11" s="295">
        <v>5</v>
      </c>
      <c r="B11" s="296" t="s">
        <v>218</v>
      </c>
      <c r="C11" s="296" t="s">
        <v>232</v>
      </c>
      <c r="D11" s="297">
        <v>0.02883101851851852</v>
      </c>
      <c r="E11" s="298">
        <v>3</v>
      </c>
      <c r="F11" s="298">
        <v>28</v>
      </c>
      <c r="G11" s="375">
        <v>0.027083333333333334</v>
      </c>
      <c r="H11" s="352">
        <f aca="true" t="shared" si="0" ref="H11:H23">+D11/G11</f>
        <v>1.0645299145299145</v>
      </c>
      <c r="I11" s="15">
        <v>97</v>
      </c>
      <c r="J11" s="353">
        <v>0.026157407407407407</v>
      </c>
    </row>
    <row r="12" spans="1:10" s="15" customFormat="1" ht="15">
      <c r="A12" s="295">
        <v>6</v>
      </c>
      <c r="B12" s="296" t="s">
        <v>52</v>
      </c>
      <c r="C12" s="296" t="s">
        <v>274</v>
      </c>
      <c r="D12" s="297">
        <v>0.029039351851851854</v>
      </c>
      <c r="E12" s="298">
        <v>4</v>
      </c>
      <c r="F12" s="298">
        <v>27</v>
      </c>
      <c r="G12" s="375">
        <v>0.026168981481481477</v>
      </c>
      <c r="H12" s="352">
        <f t="shared" si="0"/>
        <v>1.1096859796550202</v>
      </c>
      <c r="I12" s="15">
        <v>82</v>
      </c>
      <c r="J12" s="353">
        <v>0.025798611111111105</v>
      </c>
    </row>
    <row r="13" spans="1:10" s="15" customFormat="1" ht="15">
      <c r="A13" s="295">
        <v>7</v>
      </c>
      <c r="B13" s="296" t="s">
        <v>31</v>
      </c>
      <c r="C13" s="296" t="s">
        <v>310</v>
      </c>
      <c r="D13" s="297">
        <v>0.029629629629629627</v>
      </c>
      <c r="E13" s="298">
        <v>5</v>
      </c>
      <c r="F13" s="298">
        <v>26</v>
      </c>
      <c r="G13" s="375">
        <v>0.02528935185185185</v>
      </c>
      <c r="H13" s="352">
        <f t="shared" si="0"/>
        <v>1.17162471395881</v>
      </c>
      <c r="I13" s="15">
        <v>64</v>
      </c>
      <c r="J13" s="353">
        <v>0.025578703703703704</v>
      </c>
    </row>
    <row r="14" spans="1:10" s="15" customFormat="1" ht="15">
      <c r="A14" s="295">
        <v>8</v>
      </c>
      <c r="B14" s="296" t="s">
        <v>347</v>
      </c>
      <c r="C14" s="296" t="s">
        <v>348</v>
      </c>
      <c r="D14" s="297">
        <v>0.030104166666666668</v>
      </c>
      <c r="E14" s="298">
        <v>6</v>
      </c>
      <c r="F14" s="298">
        <v>25</v>
      </c>
      <c r="G14" s="375">
        <v>0.026782407407407408</v>
      </c>
      <c r="H14" s="352">
        <f t="shared" si="0"/>
        <v>1.124027657735523</v>
      </c>
      <c r="I14" s="15">
        <v>76</v>
      </c>
      <c r="J14" s="353">
        <v>0.026643518518518518</v>
      </c>
    </row>
    <row r="15" spans="1:10" s="15" customFormat="1" ht="15">
      <c r="A15" s="384">
        <v>9</v>
      </c>
      <c r="B15" s="296" t="s">
        <v>408</v>
      </c>
      <c r="C15" s="296" t="s">
        <v>420</v>
      </c>
      <c r="D15" s="297">
        <v>0.03025462962962963</v>
      </c>
      <c r="E15" s="298">
        <v>7</v>
      </c>
      <c r="F15" s="298">
        <v>24</v>
      </c>
      <c r="G15" s="375">
        <v>0.025694444444444447</v>
      </c>
      <c r="H15" s="352">
        <f t="shared" si="0"/>
        <v>1.1774774774774774</v>
      </c>
      <c r="I15" s="15">
        <v>62</v>
      </c>
      <c r="J15" s="353">
        <v>0.02606481481481482</v>
      </c>
    </row>
    <row r="16" spans="1:10" s="15" customFormat="1" ht="15">
      <c r="A16" s="303">
        <v>10</v>
      </c>
      <c r="B16" s="304" t="s">
        <v>63</v>
      </c>
      <c r="C16" s="304" t="s">
        <v>64</v>
      </c>
      <c r="D16" s="305">
        <v>0.030416666666666665</v>
      </c>
      <c r="E16" s="306">
        <v>1</v>
      </c>
      <c r="F16" s="306">
        <v>30</v>
      </c>
      <c r="G16" s="375">
        <v>0.0284375</v>
      </c>
      <c r="H16" s="352">
        <f t="shared" si="0"/>
        <v>1.0695970695970696</v>
      </c>
      <c r="I16" s="15">
        <v>94</v>
      </c>
      <c r="J16" s="353">
        <v>0.027627314814814816</v>
      </c>
    </row>
    <row r="17" spans="1:10" s="15" customFormat="1" ht="15">
      <c r="A17" s="303">
        <v>11</v>
      </c>
      <c r="B17" s="304" t="s">
        <v>219</v>
      </c>
      <c r="C17" s="304" t="s">
        <v>388</v>
      </c>
      <c r="D17" s="305">
        <v>0.03153935185185185</v>
      </c>
      <c r="E17" s="306">
        <v>2</v>
      </c>
      <c r="F17" s="306">
        <v>29</v>
      </c>
      <c r="G17" s="375">
        <v>0.029131944444444446</v>
      </c>
      <c r="H17" s="352">
        <f t="shared" si="0"/>
        <v>1.082638061183949</v>
      </c>
      <c r="I17" s="15">
        <v>91</v>
      </c>
      <c r="J17" s="353">
        <v>0.0284375</v>
      </c>
    </row>
    <row r="18" spans="1:10" s="15" customFormat="1" ht="15">
      <c r="A18" s="303">
        <v>12</v>
      </c>
      <c r="B18" s="304" t="s">
        <v>258</v>
      </c>
      <c r="C18" s="304" t="s">
        <v>257</v>
      </c>
      <c r="D18" s="305">
        <v>0.03243055555555556</v>
      </c>
      <c r="E18" s="306">
        <v>3</v>
      </c>
      <c r="F18" s="306">
        <v>28</v>
      </c>
      <c r="G18" s="375">
        <v>0.028692129629629633</v>
      </c>
      <c r="H18" s="352">
        <f t="shared" si="0"/>
        <v>1.1302944735780556</v>
      </c>
      <c r="I18" s="15">
        <v>71</v>
      </c>
      <c r="J18" s="353">
        <v>0.028726851851851854</v>
      </c>
    </row>
    <row r="19" spans="1:10" s="15" customFormat="1" ht="15">
      <c r="A19" s="299">
        <v>13</v>
      </c>
      <c r="B19" s="300" t="s">
        <v>63</v>
      </c>
      <c r="C19" s="300" t="s">
        <v>110</v>
      </c>
      <c r="D19" s="301">
        <v>0.03297453703703704</v>
      </c>
      <c r="E19" s="302">
        <v>1</v>
      </c>
      <c r="F19" s="302">
        <v>30</v>
      </c>
      <c r="G19" s="375">
        <v>0.029988425925925922</v>
      </c>
      <c r="H19" s="352">
        <f t="shared" si="0"/>
        <v>1.0995754534928601</v>
      </c>
      <c r="I19" s="15">
        <v>84</v>
      </c>
      <c r="J19" s="353">
        <v>0.029548611111111105</v>
      </c>
    </row>
    <row r="20" spans="1:10" s="15" customFormat="1" ht="15">
      <c r="A20" s="299">
        <v>14</v>
      </c>
      <c r="B20" s="300" t="s">
        <v>115</v>
      </c>
      <c r="C20" s="300" t="s">
        <v>116</v>
      </c>
      <c r="D20" s="301">
        <v>0.03297453703703704</v>
      </c>
      <c r="E20" s="302">
        <v>2</v>
      </c>
      <c r="F20" s="302">
        <v>29</v>
      </c>
      <c r="G20" s="375">
        <v>0.03074074074074074</v>
      </c>
      <c r="H20" s="352">
        <f t="shared" si="0"/>
        <v>1.0726656626506026</v>
      </c>
      <c r="I20" s="15">
        <v>93</v>
      </c>
      <c r="J20" s="353">
        <v>0.029965277777777775</v>
      </c>
    </row>
    <row r="21" spans="1:10" s="15" customFormat="1" ht="15">
      <c r="A21" s="299">
        <v>15</v>
      </c>
      <c r="B21" s="300" t="s">
        <v>235</v>
      </c>
      <c r="C21" s="300" t="s">
        <v>236</v>
      </c>
      <c r="D21" s="301">
        <v>0.03399305555555556</v>
      </c>
      <c r="E21" s="302">
        <v>3</v>
      </c>
      <c r="F21" s="302">
        <v>28</v>
      </c>
      <c r="G21" s="375">
        <v>0.031180555555555555</v>
      </c>
      <c r="H21" s="352">
        <f t="shared" si="0"/>
        <v>1.0902004454342986</v>
      </c>
      <c r="I21" s="15">
        <v>87</v>
      </c>
      <c r="J21" s="353">
        <v>0.030625</v>
      </c>
    </row>
    <row r="22" spans="1:10" s="15" customFormat="1" ht="15">
      <c r="A22" s="307">
        <v>16</v>
      </c>
      <c r="B22" s="308" t="s">
        <v>259</v>
      </c>
      <c r="C22" s="308" t="s">
        <v>256</v>
      </c>
      <c r="D22" s="309">
        <v>0.03428240740740741</v>
      </c>
      <c r="E22" s="310">
        <v>1</v>
      </c>
      <c r="F22" s="310">
        <v>30</v>
      </c>
      <c r="G22" s="375">
        <v>0.030671296296296294</v>
      </c>
      <c r="H22" s="352">
        <f t="shared" si="0"/>
        <v>1.1177358490566038</v>
      </c>
      <c r="I22" s="15">
        <v>79</v>
      </c>
      <c r="J22" s="353">
        <v>0.030416666666666665</v>
      </c>
    </row>
    <row r="23" spans="1:10" s="15" customFormat="1" ht="15">
      <c r="A23" s="299">
        <v>17</v>
      </c>
      <c r="B23" s="300" t="s">
        <v>220</v>
      </c>
      <c r="C23" s="300" t="s">
        <v>354</v>
      </c>
      <c r="D23" s="301">
        <v>0.03474537037037037</v>
      </c>
      <c r="E23" s="302">
        <v>4</v>
      </c>
      <c r="F23" s="302">
        <v>27</v>
      </c>
      <c r="G23" s="375">
        <v>0.030844907407407404</v>
      </c>
      <c r="H23" s="352">
        <f t="shared" si="0"/>
        <v>1.126454033771107</v>
      </c>
      <c r="I23" s="15">
        <v>75</v>
      </c>
      <c r="J23" s="353">
        <v>0.03074074074074074</v>
      </c>
    </row>
    <row r="24" spans="1:7" ht="15">
      <c r="A24" s="381">
        <v>18</v>
      </c>
      <c r="B24" s="350" t="s">
        <v>555</v>
      </c>
      <c r="C24" s="350" t="s">
        <v>554</v>
      </c>
      <c r="D24" s="382">
        <v>0.03498842592592593</v>
      </c>
      <c r="G24" s="375"/>
    </row>
    <row r="25" spans="1:10" s="15" customFormat="1" ht="15">
      <c r="A25" s="307">
        <v>19</v>
      </c>
      <c r="B25" s="308" t="s">
        <v>276</v>
      </c>
      <c r="C25" s="308" t="s">
        <v>38</v>
      </c>
      <c r="D25" s="309">
        <v>0.03546296296296297</v>
      </c>
      <c r="E25" s="310">
        <v>2</v>
      </c>
      <c r="F25" s="310">
        <v>29</v>
      </c>
      <c r="G25" s="375">
        <v>0.033483796296296296</v>
      </c>
      <c r="H25" s="352">
        <f aca="true" t="shared" si="1" ref="H25:H30">+D25/G25</f>
        <v>1.0591081921880403</v>
      </c>
      <c r="I25" s="15">
        <v>98</v>
      </c>
      <c r="J25" s="353">
        <v>0.03252314814814815</v>
      </c>
    </row>
    <row r="26" spans="1:10" s="15" customFormat="1" ht="15">
      <c r="A26" s="307">
        <v>20</v>
      </c>
      <c r="B26" s="308" t="s">
        <v>219</v>
      </c>
      <c r="C26" s="308" t="s">
        <v>556</v>
      </c>
      <c r="D26" s="309">
        <v>0.03584490740740741</v>
      </c>
      <c r="E26" s="310">
        <v>3</v>
      </c>
      <c r="F26" s="310">
        <v>28</v>
      </c>
      <c r="G26" s="375">
        <v>0.03333333333333333</v>
      </c>
      <c r="H26" s="352">
        <f t="shared" si="1"/>
        <v>1.0753472222222222</v>
      </c>
      <c r="I26" s="15">
        <v>92</v>
      </c>
      <c r="J26" s="353">
        <v>0.03259259259259259</v>
      </c>
    </row>
    <row r="27" spans="1:10" s="15" customFormat="1" ht="15">
      <c r="A27" s="307">
        <v>21</v>
      </c>
      <c r="B27" s="308" t="s">
        <v>314</v>
      </c>
      <c r="C27" s="308" t="s">
        <v>238</v>
      </c>
      <c r="D27" s="309">
        <v>0.035902777777777777</v>
      </c>
      <c r="E27" s="310">
        <v>4</v>
      </c>
      <c r="F27" s="310">
        <v>27</v>
      </c>
      <c r="G27" s="375">
        <v>0.03209490740740741</v>
      </c>
      <c r="H27" s="352">
        <f t="shared" si="1"/>
        <v>1.1186440677966099</v>
      </c>
      <c r="I27" s="15">
        <v>78</v>
      </c>
      <c r="J27" s="353">
        <v>0.031875</v>
      </c>
    </row>
    <row r="28" spans="1:10" s="15" customFormat="1" ht="15">
      <c r="A28" s="299">
        <v>22</v>
      </c>
      <c r="B28" s="300" t="s">
        <v>219</v>
      </c>
      <c r="C28" s="300" t="s">
        <v>241</v>
      </c>
      <c r="D28" s="301">
        <v>0.036099537037037034</v>
      </c>
      <c r="E28" s="302">
        <v>5</v>
      </c>
      <c r="F28" s="302">
        <v>26</v>
      </c>
      <c r="G28" s="375">
        <v>0.030381944444444444</v>
      </c>
      <c r="H28" s="352">
        <f t="shared" si="1"/>
        <v>1.188190476190476</v>
      </c>
      <c r="I28" s="15">
        <v>60</v>
      </c>
      <c r="J28" s="353">
        <v>0.03082175925925926</v>
      </c>
    </row>
    <row r="29" spans="1:10" s="15" customFormat="1" ht="15">
      <c r="A29" s="307">
        <v>23</v>
      </c>
      <c r="B29" s="308" t="s">
        <v>103</v>
      </c>
      <c r="C29" s="308" t="s">
        <v>104</v>
      </c>
      <c r="D29" s="309">
        <v>0.036412037037037034</v>
      </c>
      <c r="E29" s="310">
        <v>5</v>
      </c>
      <c r="F29" s="310">
        <v>26</v>
      </c>
      <c r="G29" s="375">
        <v>0.03229166666666667</v>
      </c>
      <c r="H29" s="352">
        <f t="shared" si="1"/>
        <v>1.1275985663082435</v>
      </c>
      <c r="I29" s="15">
        <v>74</v>
      </c>
      <c r="J29" s="353">
        <v>0.03222222222222223</v>
      </c>
    </row>
    <row r="30" spans="1:10" s="15" customFormat="1" ht="15">
      <c r="A30" s="299">
        <v>24</v>
      </c>
      <c r="B30" s="300" t="s">
        <v>314</v>
      </c>
      <c r="C30" s="300" t="s">
        <v>101</v>
      </c>
      <c r="D30" s="301">
        <v>0.0365625</v>
      </c>
      <c r="E30" s="302">
        <v>6</v>
      </c>
      <c r="F30" s="302">
        <v>25</v>
      </c>
      <c r="G30" s="375">
        <v>0.031504629629629625</v>
      </c>
      <c r="H30" s="352">
        <f t="shared" si="1"/>
        <v>1.1605437178545188</v>
      </c>
      <c r="I30" s="15">
        <v>67</v>
      </c>
      <c r="J30" s="353">
        <v>0.03168981481481481</v>
      </c>
    </row>
    <row r="31" spans="1:7" ht="15">
      <c r="A31" s="381">
        <v>25</v>
      </c>
      <c r="B31" s="350" t="s">
        <v>558</v>
      </c>
      <c r="C31" s="350" t="s">
        <v>557</v>
      </c>
      <c r="D31" s="382">
        <v>0.03680555555555556</v>
      </c>
      <c r="G31" s="375"/>
    </row>
    <row r="32" spans="1:10" s="15" customFormat="1" ht="15">
      <c r="A32" s="303">
        <v>26</v>
      </c>
      <c r="B32" s="304" t="s">
        <v>31</v>
      </c>
      <c r="C32" s="304" t="s">
        <v>75</v>
      </c>
      <c r="D32" s="305">
        <v>0.03681712962962963</v>
      </c>
      <c r="E32" s="306">
        <v>4</v>
      </c>
      <c r="F32" s="306">
        <v>27</v>
      </c>
      <c r="G32" s="375">
        <v>0.03283564814814815</v>
      </c>
      <c r="H32" s="352">
        <f>+D32/G32</f>
        <v>1.1212548466690166</v>
      </c>
      <c r="I32" s="15">
        <v>77</v>
      </c>
      <c r="J32" s="353">
        <v>0.032650462962962964</v>
      </c>
    </row>
    <row r="33" spans="1:7" ht="15">
      <c r="A33" s="381">
        <v>27</v>
      </c>
      <c r="B33" s="350" t="s">
        <v>31</v>
      </c>
      <c r="C33" s="350" t="s">
        <v>312</v>
      </c>
      <c r="D33" s="382">
        <v>0.03699074074074074</v>
      </c>
      <c r="G33" s="375"/>
    </row>
    <row r="34" spans="1:10" s="15" customFormat="1" ht="15">
      <c r="A34" s="303">
        <v>28</v>
      </c>
      <c r="B34" s="304" t="s">
        <v>559</v>
      </c>
      <c r="C34" s="304" t="s">
        <v>83</v>
      </c>
      <c r="D34" s="305">
        <v>0.037002314814814814</v>
      </c>
      <c r="E34" s="306">
        <v>5</v>
      </c>
      <c r="F34" s="306">
        <v>26</v>
      </c>
      <c r="G34" s="375">
        <v>0.029861111111111113</v>
      </c>
      <c r="H34" s="352">
        <f aca="true" t="shared" si="2" ref="H34:H39">+D34/G34</f>
        <v>1.2391472868217053</v>
      </c>
      <c r="I34" s="15">
        <v>49</v>
      </c>
      <c r="J34" s="353">
        <v>0.03070601851851852</v>
      </c>
    </row>
    <row r="35" spans="1:10" s="15" customFormat="1" ht="15">
      <c r="A35" s="299">
        <v>29</v>
      </c>
      <c r="B35" s="300" t="s">
        <v>117</v>
      </c>
      <c r="C35" s="300" t="s">
        <v>118</v>
      </c>
      <c r="D35" s="301">
        <v>0.037141203703703704</v>
      </c>
      <c r="E35" s="302">
        <v>7</v>
      </c>
      <c r="F35" s="302">
        <v>24</v>
      </c>
      <c r="G35" s="375">
        <v>0.03221064814814815</v>
      </c>
      <c r="H35" s="352">
        <f t="shared" si="2"/>
        <v>1.1530722242184692</v>
      </c>
      <c r="I35" s="15">
        <v>68</v>
      </c>
      <c r="J35" s="353">
        <v>0.03234953703703704</v>
      </c>
    </row>
    <row r="36" spans="1:10" s="15" customFormat="1" ht="15">
      <c r="A36" s="299">
        <v>30</v>
      </c>
      <c r="B36" s="300" t="s">
        <v>321</v>
      </c>
      <c r="C36" s="300" t="s">
        <v>132</v>
      </c>
      <c r="D36" s="301">
        <v>0.037314814814814815</v>
      </c>
      <c r="E36" s="302">
        <v>8</v>
      </c>
      <c r="F36" s="302">
        <v>23</v>
      </c>
      <c r="G36" s="375">
        <v>0.030462962962962966</v>
      </c>
      <c r="H36" s="352">
        <f t="shared" si="2"/>
        <v>1.2249240121580547</v>
      </c>
      <c r="I36" s="15">
        <v>52</v>
      </c>
      <c r="J36" s="353">
        <v>0.031203703703703706</v>
      </c>
    </row>
    <row r="37" spans="1:10" s="15" customFormat="1" ht="15">
      <c r="A37" s="299">
        <v>31</v>
      </c>
      <c r="B37" s="300" t="s">
        <v>187</v>
      </c>
      <c r="C37" s="300" t="s">
        <v>248</v>
      </c>
      <c r="D37" s="301">
        <v>0.037395833333333336</v>
      </c>
      <c r="E37" s="302">
        <v>9</v>
      </c>
      <c r="F37" s="302">
        <v>22</v>
      </c>
      <c r="G37" s="375">
        <v>0.03090277777777778</v>
      </c>
      <c r="H37" s="352">
        <f t="shared" si="2"/>
        <v>1.2101123595505618</v>
      </c>
      <c r="I37" s="15">
        <v>57</v>
      </c>
      <c r="J37" s="353">
        <v>0.03145833333333333</v>
      </c>
    </row>
    <row r="38" spans="1:10" s="15" customFormat="1" ht="15">
      <c r="A38" s="307">
        <v>32</v>
      </c>
      <c r="B38" s="308" t="s">
        <v>52</v>
      </c>
      <c r="C38" s="308" t="s">
        <v>122</v>
      </c>
      <c r="D38" s="309">
        <v>0.03805555555555556</v>
      </c>
      <c r="E38" s="310">
        <v>6</v>
      </c>
      <c r="F38" s="310">
        <v>25</v>
      </c>
      <c r="G38" s="375">
        <v>0.03373842592592593</v>
      </c>
      <c r="H38" s="352">
        <f t="shared" si="2"/>
        <v>1.127958833619211</v>
      </c>
      <c r="I38" s="15">
        <v>73</v>
      </c>
      <c r="J38" s="353">
        <v>0.03370370370370371</v>
      </c>
    </row>
    <row r="39" spans="1:10" s="15" customFormat="1" ht="15">
      <c r="A39" s="299">
        <v>33</v>
      </c>
      <c r="B39" s="300" t="s">
        <v>342</v>
      </c>
      <c r="C39" s="300" t="s">
        <v>341</v>
      </c>
      <c r="D39" s="301">
        <v>0.03809027777777778</v>
      </c>
      <c r="E39" s="302">
        <v>10</v>
      </c>
      <c r="F39" s="302">
        <v>21</v>
      </c>
      <c r="G39" s="375">
        <v>0.03159722222222222</v>
      </c>
      <c r="H39" s="352">
        <f t="shared" si="2"/>
        <v>1.2054945054945057</v>
      </c>
      <c r="I39" s="15">
        <v>58</v>
      </c>
      <c r="J39" s="353">
        <v>0.03210648148148148</v>
      </c>
    </row>
    <row r="40" spans="1:7" ht="15">
      <c r="A40" s="381">
        <v>34</v>
      </c>
      <c r="B40" s="350" t="s">
        <v>164</v>
      </c>
      <c r="C40" s="350" t="s">
        <v>318</v>
      </c>
      <c r="D40" s="382">
        <v>0.03869212962962963</v>
      </c>
      <c r="G40" s="375"/>
    </row>
    <row r="41" spans="1:10" s="15" customFormat="1" ht="15">
      <c r="A41" s="256">
        <v>35</v>
      </c>
      <c r="B41" s="257" t="s">
        <v>139</v>
      </c>
      <c r="C41" s="257" t="s">
        <v>140</v>
      </c>
      <c r="D41" s="311">
        <v>0.038831018518518515</v>
      </c>
      <c r="E41" s="312">
        <v>1</v>
      </c>
      <c r="F41" s="312">
        <v>30</v>
      </c>
      <c r="G41" s="375">
        <v>0.03684027777777778</v>
      </c>
      <c r="H41" s="352">
        <f>+D41/G41</f>
        <v>1.054037071944706</v>
      </c>
      <c r="I41" s="15">
        <v>99</v>
      </c>
      <c r="J41" s="353">
        <v>0.03584490740740741</v>
      </c>
    </row>
    <row r="42" spans="1:7" ht="15">
      <c r="A42" s="381">
        <v>36</v>
      </c>
      <c r="B42" s="350" t="s">
        <v>562</v>
      </c>
      <c r="C42" s="350" t="s">
        <v>561</v>
      </c>
      <c r="D42" s="382">
        <v>0.03922453703703704</v>
      </c>
      <c r="G42" s="375"/>
    </row>
    <row r="43" spans="1:10" s="15" customFormat="1" ht="15">
      <c r="A43" s="256">
        <v>37</v>
      </c>
      <c r="B43" s="257" t="s">
        <v>317</v>
      </c>
      <c r="C43" s="257" t="s">
        <v>116</v>
      </c>
      <c r="D43" s="311">
        <v>0.039293981481481485</v>
      </c>
      <c r="E43" s="312">
        <v>2</v>
      </c>
      <c r="F43" s="312">
        <v>29</v>
      </c>
      <c r="G43" s="375">
        <v>0.03607638888888889</v>
      </c>
      <c r="H43" s="352">
        <f>+D43/G43</f>
        <v>1.089188322104588</v>
      </c>
      <c r="I43" s="15">
        <v>89</v>
      </c>
      <c r="J43" s="353">
        <v>0.035451388888888886</v>
      </c>
    </row>
    <row r="44" spans="1:10" s="15" customFormat="1" ht="15">
      <c r="A44" s="256">
        <v>38</v>
      </c>
      <c r="B44" s="257" t="s">
        <v>360</v>
      </c>
      <c r="C44" s="257" t="s">
        <v>359</v>
      </c>
      <c r="D44" s="311">
        <v>0.03960648148148148</v>
      </c>
      <c r="E44" s="312">
        <v>3</v>
      </c>
      <c r="F44" s="312">
        <v>28</v>
      </c>
      <c r="G44" s="375">
        <v>0.0350462962962963</v>
      </c>
      <c r="H44" s="352">
        <f>+D44/G44</f>
        <v>1.130118890356671</v>
      </c>
      <c r="I44" s="15">
        <v>72</v>
      </c>
      <c r="J44" s="353">
        <v>0.0350462962962963</v>
      </c>
    </row>
    <row r="45" spans="1:10" s="15" customFormat="1" ht="15">
      <c r="A45" s="307">
        <v>39</v>
      </c>
      <c r="B45" s="308" t="s">
        <v>224</v>
      </c>
      <c r="C45" s="308" t="s">
        <v>38</v>
      </c>
      <c r="D45" s="309">
        <v>0.03972222222222222</v>
      </c>
      <c r="E45" s="310">
        <v>7</v>
      </c>
      <c r="F45" s="310">
        <v>24</v>
      </c>
      <c r="G45" s="375">
        <v>0.032789351851851854</v>
      </c>
      <c r="H45" s="352">
        <f>+D45/G45</f>
        <v>1.2114366396046592</v>
      </c>
      <c r="I45" s="15">
        <v>56</v>
      </c>
      <c r="J45" s="353">
        <v>0.033379629629629634</v>
      </c>
    </row>
    <row r="46" spans="1:10" s="15" customFormat="1" ht="15">
      <c r="A46" s="307">
        <v>40</v>
      </c>
      <c r="B46" s="308" t="s">
        <v>361</v>
      </c>
      <c r="C46" s="308" t="s">
        <v>84</v>
      </c>
      <c r="D46" s="309">
        <v>0.03984953703703704</v>
      </c>
      <c r="E46" s="310">
        <v>8</v>
      </c>
      <c r="F46" s="310">
        <v>23</v>
      </c>
      <c r="G46" s="375">
        <v>0.034722222222222224</v>
      </c>
      <c r="H46" s="352">
        <f>+D46/G46</f>
        <v>1.1476666666666666</v>
      </c>
      <c r="I46" s="15">
        <v>69</v>
      </c>
      <c r="J46" s="353">
        <v>0.03482638888888889</v>
      </c>
    </row>
    <row r="47" spans="1:7" ht="15">
      <c r="A47" s="381">
        <v>41</v>
      </c>
      <c r="B47" s="350" t="s">
        <v>392</v>
      </c>
      <c r="C47" s="350" t="s">
        <v>561</v>
      </c>
      <c r="D47" s="382">
        <v>0.04025462962962963</v>
      </c>
      <c r="G47" s="375"/>
    </row>
    <row r="48" spans="1:10" s="15" customFormat="1" ht="15">
      <c r="A48" s="299">
        <v>42</v>
      </c>
      <c r="B48" s="300" t="s">
        <v>107</v>
      </c>
      <c r="C48" s="300" t="s">
        <v>108</v>
      </c>
      <c r="D48" s="301">
        <v>0.04069444444444444</v>
      </c>
      <c r="E48" s="302">
        <v>11</v>
      </c>
      <c r="F48" s="302">
        <v>20</v>
      </c>
      <c r="G48" s="375">
        <v>0.031655092592592596</v>
      </c>
      <c r="H48" s="352">
        <f aca="true" t="shared" si="3" ref="H48:H64">+D48/G48</f>
        <v>1.2855575868372942</v>
      </c>
      <c r="I48" s="15">
        <v>45</v>
      </c>
      <c r="J48" s="353">
        <v>0.032650462962962964</v>
      </c>
    </row>
    <row r="49" spans="1:10" s="15" customFormat="1" ht="15">
      <c r="A49" s="256">
        <v>43</v>
      </c>
      <c r="B49" s="257" t="s">
        <v>187</v>
      </c>
      <c r="C49" s="257" t="s">
        <v>374</v>
      </c>
      <c r="D49" s="311">
        <v>0.04100694444444444</v>
      </c>
      <c r="E49" s="312">
        <v>4</v>
      </c>
      <c r="F49" s="312">
        <v>27</v>
      </c>
      <c r="G49" s="375">
        <v>0.03484953703703703</v>
      </c>
      <c r="H49" s="352">
        <f t="shared" si="3"/>
        <v>1.1766854865493193</v>
      </c>
      <c r="I49" s="15">
        <v>63</v>
      </c>
      <c r="J49" s="353">
        <v>0.03517361111111111</v>
      </c>
    </row>
    <row r="50" spans="1:10" s="15" customFormat="1" ht="15">
      <c r="A50" s="307">
        <v>44</v>
      </c>
      <c r="B50" s="308" t="s">
        <v>305</v>
      </c>
      <c r="C50" s="308" t="s">
        <v>306</v>
      </c>
      <c r="D50" s="309">
        <v>0.0410300925925926</v>
      </c>
      <c r="E50" s="310">
        <v>9</v>
      </c>
      <c r="F50" s="310">
        <v>22</v>
      </c>
      <c r="G50" s="375">
        <v>0.034375</v>
      </c>
      <c r="H50" s="352">
        <f t="shared" si="3"/>
        <v>1.1936026936026936</v>
      </c>
      <c r="I50" s="15">
        <v>59</v>
      </c>
      <c r="J50" s="353">
        <v>0.03484953703703704</v>
      </c>
    </row>
    <row r="51" spans="1:10" s="15" customFormat="1" ht="15">
      <c r="A51" s="256">
        <v>45</v>
      </c>
      <c r="B51" s="257" t="s">
        <v>366</v>
      </c>
      <c r="C51" s="257" t="s">
        <v>365</v>
      </c>
      <c r="D51" s="311">
        <v>0.04116898148148148</v>
      </c>
      <c r="E51" s="312">
        <v>5</v>
      </c>
      <c r="F51" s="312">
        <v>26</v>
      </c>
      <c r="G51" s="375">
        <v>0.0362037037037037</v>
      </c>
      <c r="H51" s="352">
        <f t="shared" si="3"/>
        <v>1.137148337595908</v>
      </c>
      <c r="I51" s="15">
        <v>70</v>
      </c>
      <c r="J51" s="353">
        <v>0.036273148148148145</v>
      </c>
    </row>
    <row r="52" spans="1:10" s="15" customFormat="1" ht="15">
      <c r="A52" s="307">
        <v>46</v>
      </c>
      <c r="B52" s="308" t="s">
        <v>316</v>
      </c>
      <c r="C52" s="308" t="s">
        <v>315</v>
      </c>
      <c r="D52" s="309">
        <v>0.04126157407407407</v>
      </c>
      <c r="E52" s="310">
        <v>10</v>
      </c>
      <c r="F52" s="310">
        <v>21</v>
      </c>
      <c r="G52" s="375">
        <v>0.03295138888888889</v>
      </c>
      <c r="H52" s="352">
        <f t="shared" si="3"/>
        <v>1.2521952932911835</v>
      </c>
      <c r="I52" s="15">
        <v>47</v>
      </c>
      <c r="J52" s="353">
        <v>0.03387731481481482</v>
      </c>
    </row>
    <row r="53" spans="1:10" s="15" customFormat="1" ht="15">
      <c r="A53" s="307">
        <v>47</v>
      </c>
      <c r="B53" s="308" t="s">
        <v>228</v>
      </c>
      <c r="C53" s="308" t="s">
        <v>340</v>
      </c>
      <c r="D53" s="309">
        <v>0.0416550925925926</v>
      </c>
      <c r="E53" s="310">
        <v>11</v>
      </c>
      <c r="F53" s="310">
        <v>20</v>
      </c>
      <c r="G53" s="375">
        <v>0.03302083333333333</v>
      </c>
      <c r="H53" s="352">
        <f t="shared" si="3"/>
        <v>1.261479144759902</v>
      </c>
      <c r="I53" s="15">
        <v>46</v>
      </c>
      <c r="J53" s="353">
        <v>0.03398148148148148</v>
      </c>
    </row>
    <row r="54" spans="1:10" s="15" customFormat="1" ht="15">
      <c r="A54" s="307">
        <v>48</v>
      </c>
      <c r="B54" s="308" t="s">
        <v>251</v>
      </c>
      <c r="C54" s="308" t="s">
        <v>250</v>
      </c>
      <c r="D54" s="309">
        <v>0.04209490740740741</v>
      </c>
      <c r="E54" s="310">
        <v>12</v>
      </c>
      <c r="F54" s="310">
        <v>19</v>
      </c>
      <c r="G54" s="375">
        <v>0.034027777777777775</v>
      </c>
      <c r="H54" s="352">
        <f t="shared" si="3"/>
        <v>1.237074829931973</v>
      </c>
      <c r="I54" s="15">
        <v>50</v>
      </c>
      <c r="J54" s="353">
        <v>0.03483796296296296</v>
      </c>
    </row>
    <row r="55" spans="1:10" s="15" customFormat="1" ht="15">
      <c r="A55" s="256">
        <v>49</v>
      </c>
      <c r="B55" s="257" t="s">
        <v>168</v>
      </c>
      <c r="C55" s="257" t="s">
        <v>371</v>
      </c>
      <c r="D55" s="311">
        <v>0.042604166666666665</v>
      </c>
      <c r="E55" s="312">
        <v>6</v>
      </c>
      <c r="F55" s="312">
        <v>25</v>
      </c>
      <c r="G55" s="375">
        <v>0.0390625</v>
      </c>
      <c r="H55" s="352">
        <f t="shared" si="3"/>
        <v>1.0906666666666667</v>
      </c>
      <c r="I55" s="15">
        <v>86</v>
      </c>
      <c r="J55" s="353">
        <v>0.03855324074074074</v>
      </c>
    </row>
    <row r="56" spans="1:10" s="15" customFormat="1" ht="15">
      <c r="A56" s="313">
        <v>50</v>
      </c>
      <c r="B56" s="314" t="s">
        <v>332</v>
      </c>
      <c r="C56" s="314" t="s">
        <v>333</v>
      </c>
      <c r="D56" s="315">
        <v>0.04268518518518519</v>
      </c>
      <c r="E56" s="316">
        <v>1</v>
      </c>
      <c r="F56" s="316">
        <v>30</v>
      </c>
      <c r="G56" s="375">
        <v>0.039050925925925926</v>
      </c>
      <c r="H56" s="352">
        <f t="shared" si="3"/>
        <v>1.093064611736811</v>
      </c>
      <c r="I56" s="15">
        <v>85</v>
      </c>
      <c r="J56" s="353">
        <v>0.03857638888888889</v>
      </c>
    </row>
    <row r="57" spans="1:10" s="15" customFormat="1" ht="15">
      <c r="A57" s="256">
        <v>51</v>
      </c>
      <c r="B57" s="257" t="s">
        <v>96</v>
      </c>
      <c r="C57" s="257" t="s">
        <v>296</v>
      </c>
      <c r="D57" s="311">
        <v>0.043333333333333335</v>
      </c>
      <c r="E57" s="312">
        <v>7</v>
      </c>
      <c r="F57" s="312">
        <v>24</v>
      </c>
      <c r="G57" s="375">
        <v>0.038807870370370375</v>
      </c>
      <c r="H57" s="352">
        <f t="shared" si="3"/>
        <v>1.1166119892633461</v>
      </c>
      <c r="I57" s="15">
        <v>80</v>
      </c>
      <c r="J57" s="353">
        <v>0.03851851851851852</v>
      </c>
    </row>
    <row r="58" spans="1:10" s="15" customFormat="1" ht="15">
      <c r="A58" s="256">
        <v>52</v>
      </c>
      <c r="B58" s="257" t="s">
        <v>518</v>
      </c>
      <c r="C58" s="257" t="s">
        <v>178</v>
      </c>
      <c r="D58" s="311">
        <v>0.04387731481481482</v>
      </c>
      <c r="E58" s="312">
        <v>8</v>
      </c>
      <c r="F58" s="312">
        <v>23</v>
      </c>
      <c r="G58" s="375">
        <v>0.036111111111111115</v>
      </c>
      <c r="H58" s="352">
        <f t="shared" si="3"/>
        <v>1.2150641025641027</v>
      </c>
      <c r="I58" s="15">
        <v>55</v>
      </c>
      <c r="J58" s="353">
        <v>0.036736111111111115</v>
      </c>
    </row>
    <row r="59" spans="1:10" s="15" customFormat="1" ht="15">
      <c r="A59" s="313">
        <v>53</v>
      </c>
      <c r="B59" s="314" t="s">
        <v>225</v>
      </c>
      <c r="C59" s="314" t="s">
        <v>174</v>
      </c>
      <c r="D59" s="315">
        <v>0.04473379629629629</v>
      </c>
      <c r="E59" s="316">
        <v>2</v>
      </c>
      <c r="F59" s="316">
        <v>29</v>
      </c>
      <c r="G59" s="375">
        <v>0.04027777777777778</v>
      </c>
      <c r="H59" s="352">
        <f t="shared" si="3"/>
        <v>1.1106321839080457</v>
      </c>
      <c r="I59" s="15">
        <v>81</v>
      </c>
      <c r="J59" s="353">
        <v>0.03995370370370371</v>
      </c>
    </row>
    <row r="60" spans="1:10" s="15" customFormat="1" ht="15">
      <c r="A60" s="256">
        <v>54</v>
      </c>
      <c r="B60" s="257" t="s">
        <v>321</v>
      </c>
      <c r="C60" s="257" t="s">
        <v>190</v>
      </c>
      <c r="D60" s="311">
        <v>0.0449537037037037</v>
      </c>
      <c r="E60" s="312">
        <v>9</v>
      </c>
      <c r="F60" s="312">
        <v>22</v>
      </c>
      <c r="G60" s="375">
        <v>0.03678240740740741</v>
      </c>
      <c r="H60" s="352">
        <f t="shared" si="3"/>
        <v>1.2221522970421645</v>
      </c>
      <c r="I60" s="15">
        <v>53</v>
      </c>
      <c r="J60" s="353">
        <v>0.03747685185185185</v>
      </c>
    </row>
    <row r="61" spans="1:10" s="15" customFormat="1" ht="15">
      <c r="A61" s="313">
        <v>55</v>
      </c>
      <c r="B61" s="314" t="s">
        <v>334</v>
      </c>
      <c r="C61" s="314" t="s">
        <v>335</v>
      </c>
      <c r="D61" s="315">
        <v>0.04518518518518519</v>
      </c>
      <c r="E61" s="316">
        <v>3</v>
      </c>
      <c r="F61" s="316">
        <v>28</v>
      </c>
      <c r="G61" s="375">
        <v>0.0409375</v>
      </c>
      <c r="H61" s="352">
        <f t="shared" si="3"/>
        <v>1.1037602487984168</v>
      </c>
      <c r="I61" s="15">
        <v>83</v>
      </c>
      <c r="J61" s="353">
        <v>0.040532407407407406</v>
      </c>
    </row>
    <row r="62" spans="1:10" s="15" customFormat="1" ht="15">
      <c r="A62" s="317">
        <v>56</v>
      </c>
      <c r="B62" s="318" t="s">
        <v>239</v>
      </c>
      <c r="C62" s="318" t="s">
        <v>240</v>
      </c>
      <c r="D62" s="319">
        <v>0.045428240740740734</v>
      </c>
      <c r="E62" s="320">
        <v>1</v>
      </c>
      <c r="F62" s="320">
        <v>30</v>
      </c>
      <c r="G62" s="375">
        <v>0.04340277777777778</v>
      </c>
      <c r="H62" s="352">
        <f t="shared" si="3"/>
        <v>1.0466666666666664</v>
      </c>
      <c r="I62" s="15">
        <v>100</v>
      </c>
      <c r="J62" s="353">
        <v>0.04236111111111111</v>
      </c>
    </row>
    <row r="63" spans="1:10" s="15" customFormat="1" ht="15">
      <c r="A63" s="317">
        <v>57</v>
      </c>
      <c r="B63" s="318" t="s">
        <v>383</v>
      </c>
      <c r="C63" s="318" t="s">
        <v>382</v>
      </c>
      <c r="D63" s="319">
        <v>0.045717592592592594</v>
      </c>
      <c r="E63" s="320">
        <v>2</v>
      </c>
      <c r="F63" s="320">
        <v>29</v>
      </c>
      <c r="G63" s="375">
        <v>0.04196759259259259</v>
      </c>
      <c r="H63" s="352">
        <f t="shared" si="3"/>
        <v>1.0893546607832323</v>
      </c>
      <c r="I63" s="15">
        <v>88</v>
      </c>
      <c r="J63" s="353">
        <v>0.04137731481481481</v>
      </c>
    </row>
    <row r="64" spans="1:10" s="15" customFormat="1" ht="15">
      <c r="A64" s="317">
        <v>58</v>
      </c>
      <c r="B64" s="318" t="s">
        <v>249</v>
      </c>
      <c r="C64" s="318" t="s">
        <v>210</v>
      </c>
      <c r="D64" s="319">
        <v>0.046724537037037044</v>
      </c>
      <c r="E64" s="320">
        <v>3</v>
      </c>
      <c r="F64" s="320">
        <v>28</v>
      </c>
      <c r="G64" s="375">
        <v>0.04383101851851851</v>
      </c>
      <c r="H64" s="352">
        <f t="shared" si="3"/>
        <v>1.0660153155532086</v>
      </c>
      <c r="I64" s="15">
        <v>96</v>
      </c>
      <c r="J64" s="353">
        <v>0.04295138888888888</v>
      </c>
    </row>
    <row r="65" spans="1:7" ht="15">
      <c r="A65" s="381">
        <v>59</v>
      </c>
      <c r="B65" s="350" t="s">
        <v>563</v>
      </c>
      <c r="C65" s="350" t="s">
        <v>560</v>
      </c>
      <c r="D65" s="382">
        <v>0.048032407407407406</v>
      </c>
      <c r="G65" s="375"/>
    </row>
    <row r="66" spans="1:7" ht="15">
      <c r="A66" s="381">
        <v>60</v>
      </c>
      <c r="B66" s="350" t="s">
        <v>201</v>
      </c>
      <c r="C66" s="350" t="s">
        <v>463</v>
      </c>
      <c r="D66" s="382">
        <v>0.04807870370370371</v>
      </c>
      <c r="G66" s="375"/>
    </row>
    <row r="67" spans="1:7" ht="15">
      <c r="A67" s="381">
        <v>61</v>
      </c>
      <c r="B67" s="350" t="s">
        <v>564</v>
      </c>
      <c r="C67" s="350" t="s">
        <v>38</v>
      </c>
      <c r="D67" s="382">
        <v>0.04894675925925926</v>
      </c>
      <c r="G67" s="375"/>
    </row>
    <row r="68" spans="1:10" s="15" customFormat="1" ht="15">
      <c r="A68" s="317">
        <v>62</v>
      </c>
      <c r="B68" s="318" t="s">
        <v>224</v>
      </c>
      <c r="C68" s="318" t="s">
        <v>263</v>
      </c>
      <c r="D68" s="319">
        <v>0.04990740740740741</v>
      </c>
      <c r="E68" s="320">
        <v>4</v>
      </c>
      <c r="F68" s="320">
        <v>27</v>
      </c>
      <c r="G68" s="375">
        <v>0.042337962962962966</v>
      </c>
      <c r="H68" s="352">
        <f aca="true" t="shared" si="4" ref="H68:H74">+D68/G68</f>
        <v>1.1787862219792236</v>
      </c>
      <c r="I68" s="15">
        <v>61</v>
      </c>
      <c r="J68" s="353">
        <v>0.04274305555555556</v>
      </c>
    </row>
    <row r="69" spans="1:10" s="15" customFormat="1" ht="15">
      <c r="A69" s="317">
        <v>63</v>
      </c>
      <c r="B69" s="318" t="s">
        <v>228</v>
      </c>
      <c r="C69" s="318" t="s">
        <v>244</v>
      </c>
      <c r="D69" s="319">
        <v>0.04990740740740741</v>
      </c>
      <c r="E69" s="320">
        <v>5</v>
      </c>
      <c r="F69" s="320">
        <v>26</v>
      </c>
      <c r="G69" s="375">
        <v>0.04097222222222222</v>
      </c>
      <c r="H69" s="352">
        <f t="shared" si="4"/>
        <v>1.2180790960451977</v>
      </c>
      <c r="I69" s="15">
        <v>54</v>
      </c>
      <c r="J69" s="353">
        <v>0.041631944444444444</v>
      </c>
    </row>
    <row r="70" spans="1:10" s="15" customFormat="1" ht="15">
      <c r="A70" s="313">
        <v>64</v>
      </c>
      <c r="B70" s="314" t="s">
        <v>61</v>
      </c>
      <c r="C70" s="314" t="s">
        <v>254</v>
      </c>
      <c r="D70" s="315">
        <v>0.05104166666666667</v>
      </c>
      <c r="E70" s="316">
        <v>4</v>
      </c>
      <c r="F70" s="316">
        <v>27</v>
      </c>
      <c r="G70" s="375">
        <v>0.03923611111111111</v>
      </c>
      <c r="H70" s="352">
        <f t="shared" si="4"/>
        <v>1.3008849557522126</v>
      </c>
      <c r="I70" s="15">
        <v>44</v>
      </c>
      <c r="J70" s="353">
        <v>0.04027777777777778</v>
      </c>
    </row>
    <row r="71" spans="1:10" s="15" customFormat="1" ht="15">
      <c r="A71" s="317">
        <v>65</v>
      </c>
      <c r="B71" s="318" t="s">
        <v>265</v>
      </c>
      <c r="C71" s="318" t="s">
        <v>264</v>
      </c>
      <c r="D71" s="319">
        <v>0.05212962962962963</v>
      </c>
      <c r="E71" s="320">
        <v>6</v>
      </c>
      <c r="F71" s="320">
        <v>25</v>
      </c>
      <c r="G71" s="375">
        <v>0.04175925925925925</v>
      </c>
      <c r="H71" s="352">
        <f t="shared" si="4"/>
        <v>1.2483370288248339</v>
      </c>
      <c r="I71" s="15">
        <v>48</v>
      </c>
      <c r="J71" s="353">
        <v>0.042638888888888886</v>
      </c>
    </row>
    <row r="72" spans="1:10" s="15" customFormat="1" ht="15">
      <c r="A72" s="317">
        <v>66</v>
      </c>
      <c r="B72" s="318" t="s">
        <v>234</v>
      </c>
      <c r="C72" s="318" t="s">
        <v>230</v>
      </c>
      <c r="D72" s="319">
        <v>0.05221064814814815</v>
      </c>
      <c r="E72" s="320">
        <v>7</v>
      </c>
      <c r="F72" s="320">
        <v>24</v>
      </c>
      <c r="G72" s="375">
        <v>0.04252314814814815</v>
      </c>
      <c r="H72" s="352">
        <f t="shared" si="4"/>
        <v>1.2278170930865542</v>
      </c>
      <c r="I72" s="15">
        <v>51</v>
      </c>
      <c r="J72" s="353">
        <v>0.043298611111111114</v>
      </c>
    </row>
    <row r="73" spans="1:10" s="15" customFormat="1" ht="15">
      <c r="A73" s="317">
        <v>67</v>
      </c>
      <c r="B73" s="318" t="s">
        <v>392</v>
      </c>
      <c r="C73" s="318" t="s">
        <v>211</v>
      </c>
      <c r="D73" s="319">
        <v>0.052708333333333336</v>
      </c>
      <c r="E73" s="320">
        <v>8</v>
      </c>
      <c r="F73" s="320">
        <v>23</v>
      </c>
      <c r="G73" s="375">
        <v>0.04538194444444444</v>
      </c>
      <c r="H73" s="352">
        <f t="shared" si="4"/>
        <v>1.1614384085692426</v>
      </c>
      <c r="I73" s="15">
        <v>66</v>
      </c>
      <c r="J73" s="353">
        <v>0.045601851851851845</v>
      </c>
    </row>
    <row r="74" spans="1:10" s="15" customFormat="1" ht="15">
      <c r="A74" s="317">
        <v>68</v>
      </c>
      <c r="B74" s="318" t="s">
        <v>245</v>
      </c>
      <c r="C74" s="318" t="s">
        <v>244</v>
      </c>
      <c r="D74" s="319">
        <v>0.05630787037037036</v>
      </c>
      <c r="E74" s="320">
        <v>9</v>
      </c>
      <c r="F74" s="320">
        <v>22</v>
      </c>
      <c r="G74" s="375">
        <v>0.04819444444444445</v>
      </c>
      <c r="H74" s="352">
        <f t="shared" si="4"/>
        <v>1.168347742555235</v>
      </c>
      <c r="I74" s="15">
        <v>65</v>
      </c>
      <c r="J74" s="353">
        <v>0.04844907407407408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G9" sqref="G9"/>
    </sheetView>
  </sheetViews>
  <sheetFormatPr defaultColWidth="9.140625" defaultRowHeight="15"/>
  <cols>
    <col min="1" max="1" width="9.140625" style="378" customWidth="1"/>
    <col min="2" max="2" width="10.7109375" style="377" bestFit="1" customWidth="1"/>
    <col min="3" max="3" width="11.57421875" style="377" bestFit="1" customWidth="1"/>
    <col min="4" max="4" width="9.140625" style="380" customWidth="1"/>
    <col min="5" max="6" width="9.140625" style="377" customWidth="1"/>
    <col min="7" max="7" width="9.57421875" style="377" customWidth="1"/>
    <col min="8" max="16384" width="9.140625" style="377" customWidth="1"/>
  </cols>
  <sheetData>
    <row r="1" spans="1:7" ht="18">
      <c r="A1" s="246" t="s">
        <v>545</v>
      </c>
      <c r="D1" s="379"/>
      <c r="G1" s="344"/>
    </row>
    <row r="2" spans="1:10" ht="15">
      <c r="A2" s="230"/>
      <c r="D2" s="379"/>
      <c r="G2" s="347" t="s">
        <v>546</v>
      </c>
      <c r="H2" s="346"/>
      <c r="I2" s="346"/>
      <c r="J2" s="347" t="s">
        <v>220</v>
      </c>
    </row>
    <row r="3" spans="1:10" s="251" customFormat="1" ht="18" customHeight="1">
      <c r="A3" s="247"/>
      <c r="B3" s="248"/>
      <c r="C3" s="247"/>
      <c r="D3" s="348"/>
      <c r="G3" s="347" t="s">
        <v>547</v>
      </c>
      <c r="H3" s="346"/>
      <c r="I3" s="346"/>
      <c r="J3" s="347" t="s">
        <v>548</v>
      </c>
    </row>
    <row r="4" spans="1:10" s="251" customFormat="1" ht="18" customHeight="1">
      <c r="A4" s="246"/>
      <c r="B4" s="248"/>
      <c r="C4" s="247"/>
      <c r="D4" s="348"/>
      <c r="G4" s="345" t="s">
        <v>454</v>
      </c>
      <c r="H4" s="346"/>
      <c r="I4" s="346"/>
      <c r="J4" s="345" t="s">
        <v>454</v>
      </c>
    </row>
    <row r="5" spans="1:10" s="350" customFormat="1" ht="15">
      <c r="A5" s="82" t="s">
        <v>227</v>
      </c>
      <c r="B5" s="248"/>
      <c r="C5" s="248"/>
      <c r="D5" s="349"/>
      <c r="G5" s="345" t="s">
        <v>477</v>
      </c>
      <c r="H5" s="347" t="s">
        <v>477</v>
      </c>
      <c r="I5" s="347" t="s">
        <v>477</v>
      </c>
      <c r="J5" s="345" t="s">
        <v>477</v>
      </c>
    </row>
    <row r="6" spans="1:10" s="350" customFormat="1" ht="15">
      <c r="A6" s="254" t="s">
        <v>20</v>
      </c>
      <c r="B6" s="254" t="s">
        <v>17</v>
      </c>
      <c r="C6" s="254" t="s">
        <v>18</v>
      </c>
      <c r="D6" s="349" t="s">
        <v>349</v>
      </c>
      <c r="E6" s="80" t="s">
        <v>20</v>
      </c>
      <c r="F6" s="80" t="s">
        <v>216</v>
      </c>
      <c r="G6" s="345" t="s">
        <v>349</v>
      </c>
      <c r="H6" s="347" t="s">
        <v>478</v>
      </c>
      <c r="I6" s="351" t="s">
        <v>216</v>
      </c>
      <c r="J6" s="345" t="s">
        <v>349</v>
      </c>
    </row>
    <row r="7" spans="1:10" s="15" customFormat="1" ht="15">
      <c r="A7" s="295">
        <v>1</v>
      </c>
      <c r="B7" s="296" t="s">
        <v>427</v>
      </c>
      <c r="C7" s="296" t="s">
        <v>426</v>
      </c>
      <c r="D7" s="297">
        <v>0.027488425925925927</v>
      </c>
      <c r="E7" s="298">
        <v>1</v>
      </c>
      <c r="F7" s="298">
        <v>30</v>
      </c>
      <c r="G7" s="375">
        <v>0.025405092592592594</v>
      </c>
      <c r="H7" s="352">
        <f aca="true" t="shared" si="0" ref="H7:H38">+D7/G7</f>
        <v>1.082004555808656</v>
      </c>
      <c r="I7" s="15">
        <v>100</v>
      </c>
      <c r="J7" s="353">
        <v>0.024363425925925927</v>
      </c>
    </row>
    <row r="8" spans="1:8" ht="15">
      <c r="A8" s="378">
        <v>2</v>
      </c>
      <c r="B8" s="377" t="s">
        <v>255</v>
      </c>
      <c r="C8" s="377" t="s">
        <v>486</v>
      </c>
      <c r="D8" s="380">
        <v>0.02832175925925926</v>
      </c>
      <c r="G8" s="375"/>
      <c r="H8" s="352"/>
    </row>
    <row r="9" spans="1:10" s="15" customFormat="1" ht="15">
      <c r="A9" s="295">
        <v>3</v>
      </c>
      <c r="B9" s="296" t="s">
        <v>218</v>
      </c>
      <c r="C9" s="296" t="s">
        <v>30</v>
      </c>
      <c r="D9" s="297">
        <v>0.028576388888888887</v>
      </c>
      <c r="E9" s="298">
        <v>2</v>
      </c>
      <c r="F9" s="298">
        <v>29</v>
      </c>
      <c r="G9" s="375">
        <v>0.025694444444444447</v>
      </c>
      <c r="H9" s="352">
        <f t="shared" si="0"/>
        <v>1.112162162162162</v>
      </c>
      <c r="I9" s="15">
        <v>98</v>
      </c>
      <c r="J9" s="353">
        <v>0.024745370370370372</v>
      </c>
    </row>
    <row r="10" spans="1:10" s="15" customFormat="1" ht="15">
      <c r="A10" s="295">
        <v>4</v>
      </c>
      <c r="B10" s="296" t="s">
        <v>31</v>
      </c>
      <c r="C10" s="296" t="s">
        <v>310</v>
      </c>
      <c r="D10" s="297">
        <v>0.02946759259259259</v>
      </c>
      <c r="E10" s="298">
        <v>3</v>
      </c>
      <c r="F10" s="298">
        <v>28</v>
      </c>
      <c r="G10" s="375">
        <v>0.025613425925925925</v>
      </c>
      <c r="H10" s="352">
        <f t="shared" si="0"/>
        <v>1.1504744690465432</v>
      </c>
      <c r="I10" s="15">
        <v>83</v>
      </c>
      <c r="J10" s="353">
        <v>0.02528935185185185</v>
      </c>
    </row>
    <row r="11" spans="1:10" s="15" customFormat="1" ht="15">
      <c r="A11" s="295">
        <v>5</v>
      </c>
      <c r="B11" s="296" t="s">
        <v>31</v>
      </c>
      <c r="C11" s="296" t="s">
        <v>32</v>
      </c>
      <c r="D11" s="297">
        <v>0.02957175925925926</v>
      </c>
      <c r="E11" s="298">
        <v>4</v>
      </c>
      <c r="F11" s="298">
        <v>27</v>
      </c>
      <c r="G11" s="375">
        <v>0.025868055555555557</v>
      </c>
      <c r="H11" s="352">
        <f t="shared" si="0"/>
        <v>1.1431767337807606</v>
      </c>
      <c r="I11" s="15">
        <v>87</v>
      </c>
      <c r="J11" s="353">
        <v>0.025381944444444447</v>
      </c>
    </row>
    <row r="12" spans="1:10" s="15" customFormat="1" ht="15">
      <c r="A12" s="295">
        <v>6</v>
      </c>
      <c r="B12" s="296" t="s">
        <v>48</v>
      </c>
      <c r="C12" s="296" t="s">
        <v>49</v>
      </c>
      <c r="D12" s="297">
        <v>0.03053240740740741</v>
      </c>
      <c r="E12" s="298">
        <v>5</v>
      </c>
      <c r="F12" s="298">
        <v>26</v>
      </c>
      <c r="G12" s="375">
        <v>0.027083333333333334</v>
      </c>
      <c r="H12" s="352">
        <f t="shared" si="0"/>
        <v>1.1273504273504273</v>
      </c>
      <c r="I12" s="15">
        <v>94</v>
      </c>
      <c r="J12" s="353">
        <v>0.02630787037037037</v>
      </c>
    </row>
    <row r="13" spans="1:10" s="15" customFormat="1" ht="15">
      <c r="A13" s="303">
        <v>7</v>
      </c>
      <c r="B13" s="304" t="s">
        <v>63</v>
      </c>
      <c r="C13" s="304" t="s">
        <v>64</v>
      </c>
      <c r="D13" s="305">
        <v>0.033136574074074075</v>
      </c>
      <c r="E13" s="306">
        <v>1</v>
      </c>
      <c r="F13" s="306">
        <v>30</v>
      </c>
      <c r="G13" s="375">
        <v>0.029166666666666664</v>
      </c>
      <c r="H13" s="352">
        <f t="shared" si="0"/>
        <v>1.1361111111111113</v>
      </c>
      <c r="I13" s="15">
        <v>93</v>
      </c>
      <c r="J13" s="353">
        <v>0.0284375</v>
      </c>
    </row>
    <row r="14" spans="1:10" s="15" customFormat="1" ht="15">
      <c r="A14" s="295">
        <v>8</v>
      </c>
      <c r="B14" s="296" t="s">
        <v>52</v>
      </c>
      <c r="C14" s="296" t="s">
        <v>53</v>
      </c>
      <c r="D14" s="297">
        <v>0.03377314814814815</v>
      </c>
      <c r="E14" s="298">
        <v>6</v>
      </c>
      <c r="F14" s="298">
        <v>25</v>
      </c>
      <c r="G14" s="375">
        <v>0.027199074074074073</v>
      </c>
      <c r="H14" s="352">
        <f t="shared" si="0"/>
        <v>1.2417021276595746</v>
      </c>
      <c r="I14" s="15">
        <v>54</v>
      </c>
      <c r="J14" s="353">
        <v>0.028055555555555556</v>
      </c>
    </row>
    <row r="15" spans="1:10" s="15" customFormat="1" ht="15">
      <c r="A15" s="299">
        <v>9</v>
      </c>
      <c r="B15" s="300" t="s">
        <v>219</v>
      </c>
      <c r="C15" s="300" t="s">
        <v>275</v>
      </c>
      <c r="D15" s="301">
        <v>0.03399305555555556</v>
      </c>
      <c r="E15" s="302">
        <v>1</v>
      </c>
      <c r="F15" s="302">
        <v>30</v>
      </c>
      <c r="G15" s="375">
        <v>0.0296875</v>
      </c>
      <c r="H15" s="352">
        <f t="shared" si="0"/>
        <v>1.1450292397660822</v>
      </c>
      <c r="I15" s="15">
        <v>85</v>
      </c>
      <c r="J15" s="353">
        <v>0.029282407407407406</v>
      </c>
    </row>
    <row r="16" spans="1:10" s="15" customFormat="1" ht="15">
      <c r="A16" s="303">
        <v>10</v>
      </c>
      <c r="B16" s="304" t="s">
        <v>219</v>
      </c>
      <c r="C16" s="304" t="s">
        <v>388</v>
      </c>
      <c r="D16" s="305">
        <v>0.03428240740740741</v>
      </c>
      <c r="E16" s="306">
        <v>2</v>
      </c>
      <c r="F16" s="306">
        <v>29</v>
      </c>
      <c r="G16" s="375">
        <v>0.028645833333333332</v>
      </c>
      <c r="H16" s="352">
        <f t="shared" si="0"/>
        <v>1.1967676767676767</v>
      </c>
      <c r="I16" s="15">
        <v>63</v>
      </c>
      <c r="J16" s="353">
        <v>0.029131944444444443</v>
      </c>
    </row>
    <row r="17" spans="1:10" s="15" customFormat="1" ht="15">
      <c r="A17" s="299">
        <v>11</v>
      </c>
      <c r="B17" s="300" t="s">
        <v>219</v>
      </c>
      <c r="C17" s="300" t="s">
        <v>241</v>
      </c>
      <c r="D17" s="301">
        <v>0.03533564814814815</v>
      </c>
      <c r="E17" s="302">
        <v>2</v>
      </c>
      <c r="F17" s="302">
        <v>29</v>
      </c>
      <c r="G17" s="375">
        <v>0.03107638888888889</v>
      </c>
      <c r="H17" s="352">
        <f t="shared" si="0"/>
        <v>1.1370577281191807</v>
      </c>
      <c r="I17" s="15">
        <v>92</v>
      </c>
      <c r="J17" s="353">
        <v>0.030381944444444444</v>
      </c>
    </row>
    <row r="18" spans="1:10" s="15" customFormat="1" ht="15">
      <c r="A18" s="299">
        <v>12</v>
      </c>
      <c r="B18" s="300" t="s">
        <v>320</v>
      </c>
      <c r="C18" s="300" t="s">
        <v>310</v>
      </c>
      <c r="D18" s="301">
        <v>0.03553240740740741</v>
      </c>
      <c r="E18" s="302">
        <v>3</v>
      </c>
      <c r="F18" s="302">
        <v>28</v>
      </c>
      <c r="G18" s="375">
        <v>0.03170138888888889</v>
      </c>
      <c r="H18" s="352">
        <f t="shared" si="0"/>
        <v>1.1208470244614823</v>
      </c>
      <c r="I18" s="15">
        <v>97</v>
      </c>
      <c r="J18" s="353">
        <v>0.030798611111111113</v>
      </c>
    </row>
    <row r="19" spans="1:10" s="15" customFormat="1" ht="15">
      <c r="A19" s="299">
        <v>13</v>
      </c>
      <c r="B19" s="300" t="s">
        <v>220</v>
      </c>
      <c r="C19" s="300" t="s">
        <v>354</v>
      </c>
      <c r="D19" s="301">
        <v>0.03579861111111111</v>
      </c>
      <c r="E19" s="302">
        <v>4</v>
      </c>
      <c r="F19" s="302">
        <v>27</v>
      </c>
      <c r="G19" s="375">
        <v>0.0312962962962963</v>
      </c>
      <c r="H19" s="352">
        <f t="shared" si="0"/>
        <v>1.1438609467455618</v>
      </c>
      <c r="I19" s="15">
        <v>86</v>
      </c>
      <c r="J19" s="353">
        <v>0.03084490740740741</v>
      </c>
    </row>
    <row r="20" spans="1:10" s="15" customFormat="1" ht="15">
      <c r="A20" s="299">
        <v>14</v>
      </c>
      <c r="B20" s="300" t="s">
        <v>115</v>
      </c>
      <c r="C20" s="300" t="s">
        <v>116</v>
      </c>
      <c r="D20" s="301">
        <v>0.03599537037037037</v>
      </c>
      <c r="E20" s="302">
        <v>5</v>
      </c>
      <c r="F20" s="302">
        <v>26</v>
      </c>
      <c r="G20" s="375">
        <v>0.03045138888888889</v>
      </c>
      <c r="H20" s="352">
        <f t="shared" si="0"/>
        <v>1.1820600532117067</v>
      </c>
      <c r="I20" s="15">
        <v>68</v>
      </c>
      <c r="J20" s="353">
        <v>0.030740740740740742</v>
      </c>
    </row>
    <row r="21" spans="1:10" s="15" customFormat="1" ht="15">
      <c r="A21" s="303">
        <v>15</v>
      </c>
      <c r="B21" s="304" t="s">
        <v>342</v>
      </c>
      <c r="C21" s="304" t="s">
        <v>106</v>
      </c>
      <c r="D21" s="305">
        <v>0.036238425925925924</v>
      </c>
      <c r="E21" s="306">
        <v>3</v>
      </c>
      <c r="F21" s="306">
        <v>28</v>
      </c>
      <c r="G21" s="375">
        <v>0.02991898148148148</v>
      </c>
      <c r="H21" s="352">
        <f t="shared" si="0"/>
        <v>1.2112185686653771</v>
      </c>
      <c r="I21" s="15">
        <v>59</v>
      </c>
      <c r="J21" s="353">
        <v>0.030567129629629628</v>
      </c>
    </row>
    <row r="22" spans="1:10" s="15" customFormat="1" ht="15">
      <c r="A22" s="299">
        <v>16</v>
      </c>
      <c r="B22" s="300" t="s">
        <v>235</v>
      </c>
      <c r="C22" s="300" t="s">
        <v>538</v>
      </c>
      <c r="D22" s="301">
        <v>0.03630787037037037</v>
      </c>
      <c r="E22" s="302">
        <v>6</v>
      </c>
      <c r="F22" s="302">
        <v>25</v>
      </c>
      <c r="G22" s="375">
        <v>0.03142361111111111</v>
      </c>
      <c r="H22" s="352">
        <f t="shared" si="0"/>
        <v>1.1554327808471456</v>
      </c>
      <c r="I22" s="15">
        <v>81</v>
      </c>
      <c r="J22" s="353">
        <v>0.031180555555555555</v>
      </c>
    </row>
    <row r="23" spans="1:10" s="15" customFormat="1" ht="15">
      <c r="A23" s="307">
        <v>17</v>
      </c>
      <c r="B23" s="308" t="s">
        <v>314</v>
      </c>
      <c r="C23" s="308" t="s">
        <v>238</v>
      </c>
      <c r="D23" s="309">
        <v>0.03633101851851852</v>
      </c>
      <c r="E23" s="310">
        <v>1</v>
      </c>
      <c r="F23" s="310">
        <v>30</v>
      </c>
      <c r="G23" s="375">
        <v>0.03309027777777778</v>
      </c>
      <c r="H23" s="352">
        <f t="shared" si="0"/>
        <v>1.0979363413781043</v>
      </c>
      <c r="I23" s="15">
        <v>99</v>
      </c>
      <c r="J23" s="353">
        <v>0.03209490740740741</v>
      </c>
    </row>
    <row r="24" spans="1:10" s="15" customFormat="1" ht="15">
      <c r="A24" s="299">
        <v>18</v>
      </c>
      <c r="B24" s="300" t="s">
        <v>314</v>
      </c>
      <c r="C24" s="300" t="s">
        <v>101</v>
      </c>
      <c r="D24" s="301">
        <v>0.03688657407407408</v>
      </c>
      <c r="E24" s="302">
        <v>7</v>
      </c>
      <c r="F24" s="302">
        <v>24</v>
      </c>
      <c r="G24" s="375">
        <v>0.03113425925925926</v>
      </c>
      <c r="H24" s="352">
        <f t="shared" si="0"/>
        <v>1.1847583643122677</v>
      </c>
      <c r="I24" s="15">
        <v>66</v>
      </c>
      <c r="J24" s="353">
        <v>0.03150462962962963</v>
      </c>
    </row>
    <row r="25" spans="1:10" s="15" customFormat="1" ht="15">
      <c r="A25" s="303">
        <v>19</v>
      </c>
      <c r="B25" s="304" t="s">
        <v>69</v>
      </c>
      <c r="C25" s="304" t="s">
        <v>70</v>
      </c>
      <c r="D25" s="305">
        <v>0.03710648148148148</v>
      </c>
      <c r="E25" s="306">
        <v>4</v>
      </c>
      <c r="F25" s="306">
        <v>27</v>
      </c>
      <c r="G25" s="375">
        <v>0.028125</v>
      </c>
      <c r="H25" s="352">
        <f t="shared" si="0"/>
        <v>1.3193415637860082</v>
      </c>
      <c r="I25" s="15">
        <v>50</v>
      </c>
      <c r="J25" s="353">
        <v>0.029166666666666667</v>
      </c>
    </row>
    <row r="26" spans="1:10" s="15" customFormat="1" ht="15">
      <c r="A26" s="307">
        <v>20</v>
      </c>
      <c r="B26" s="308" t="s">
        <v>189</v>
      </c>
      <c r="C26" s="308" t="s">
        <v>162</v>
      </c>
      <c r="D26" s="309">
        <v>0.03782407407407407</v>
      </c>
      <c r="E26" s="310">
        <v>2</v>
      </c>
      <c r="F26" s="310">
        <v>29</v>
      </c>
      <c r="G26" s="375">
        <v>0.031655092592592596</v>
      </c>
      <c r="H26" s="352">
        <f t="shared" si="0"/>
        <v>1.1948811700182813</v>
      </c>
      <c r="I26" s="15">
        <v>64</v>
      </c>
      <c r="J26" s="353">
        <v>0.032106481481481486</v>
      </c>
    </row>
    <row r="27" spans="1:10" s="15" customFormat="1" ht="15">
      <c r="A27" s="307">
        <v>21</v>
      </c>
      <c r="B27" s="308" t="s">
        <v>224</v>
      </c>
      <c r="C27" s="308" t="s">
        <v>38</v>
      </c>
      <c r="D27" s="309">
        <v>0.03809027777777778</v>
      </c>
      <c r="E27" s="310">
        <v>3</v>
      </c>
      <c r="F27" s="310">
        <v>28</v>
      </c>
      <c r="G27" s="375">
        <v>0.0330787037037037</v>
      </c>
      <c r="H27" s="352">
        <f t="shared" si="0"/>
        <v>1.1515045486354094</v>
      </c>
      <c r="I27" s="15">
        <v>82</v>
      </c>
      <c r="J27" s="353">
        <v>0.03278935185185185</v>
      </c>
    </row>
    <row r="28" spans="1:10" s="15" customFormat="1" ht="15">
      <c r="A28" s="303">
        <v>22</v>
      </c>
      <c r="B28" s="304" t="s">
        <v>31</v>
      </c>
      <c r="C28" s="304" t="s">
        <v>75</v>
      </c>
      <c r="D28" s="305">
        <v>0.038182870370370374</v>
      </c>
      <c r="E28" s="306">
        <v>5</v>
      </c>
      <c r="F28" s="306">
        <v>26</v>
      </c>
      <c r="G28" s="375">
        <v>0.032997685185185185</v>
      </c>
      <c r="H28" s="352">
        <f t="shared" si="0"/>
        <v>1.1571378463696949</v>
      </c>
      <c r="I28" s="15">
        <v>79</v>
      </c>
      <c r="J28" s="353">
        <v>0.03283564814814815</v>
      </c>
    </row>
    <row r="29" spans="1:10" s="15" customFormat="1" ht="15">
      <c r="A29" s="307">
        <v>23</v>
      </c>
      <c r="B29" s="308" t="s">
        <v>63</v>
      </c>
      <c r="C29" s="308" t="s">
        <v>38</v>
      </c>
      <c r="D29" s="309">
        <v>0.03868055555555556</v>
      </c>
      <c r="E29" s="310">
        <v>4</v>
      </c>
      <c r="F29" s="310">
        <v>27</v>
      </c>
      <c r="G29" s="375">
        <v>0.0330787037037037</v>
      </c>
      <c r="H29" s="352">
        <f t="shared" si="0"/>
        <v>1.1693491952414277</v>
      </c>
      <c r="I29" s="15">
        <v>72</v>
      </c>
      <c r="J29" s="353">
        <v>0.03320601851851852</v>
      </c>
    </row>
    <row r="30" spans="1:10" s="15" customFormat="1" ht="15">
      <c r="A30" s="307">
        <v>24</v>
      </c>
      <c r="B30" s="308" t="s">
        <v>493</v>
      </c>
      <c r="C30" s="308" t="s">
        <v>318</v>
      </c>
      <c r="D30" s="309">
        <v>0.03881944444444444</v>
      </c>
      <c r="E30" s="310">
        <v>5</v>
      </c>
      <c r="F30" s="310">
        <v>26</v>
      </c>
      <c r="G30" s="375">
        <v>0.03333333333333333</v>
      </c>
      <c r="H30" s="352">
        <f t="shared" si="0"/>
        <v>1.1645833333333333</v>
      </c>
      <c r="I30" s="15">
        <v>74</v>
      </c>
      <c r="J30" s="353">
        <v>0.03337962962962963</v>
      </c>
    </row>
    <row r="31" spans="1:10" s="15" customFormat="1" ht="15">
      <c r="A31" s="307">
        <v>25</v>
      </c>
      <c r="B31" s="308" t="s">
        <v>539</v>
      </c>
      <c r="C31" s="308" t="s">
        <v>549</v>
      </c>
      <c r="D31" s="309">
        <v>0.03925925925925926</v>
      </c>
      <c r="E31" s="310">
        <v>6</v>
      </c>
      <c r="F31" s="310">
        <v>25</v>
      </c>
      <c r="G31" s="375">
        <v>0.03263888888888889</v>
      </c>
      <c r="H31" s="352">
        <f t="shared" si="0"/>
        <v>1.202836879432624</v>
      </c>
      <c r="I31" s="15">
        <v>61</v>
      </c>
      <c r="J31" s="353">
        <v>0.033206018518518524</v>
      </c>
    </row>
    <row r="32" spans="1:10" s="15" customFormat="1" ht="15">
      <c r="A32" s="307">
        <v>26</v>
      </c>
      <c r="B32" s="308" t="s">
        <v>228</v>
      </c>
      <c r="C32" s="308" t="s">
        <v>340</v>
      </c>
      <c r="D32" s="309">
        <v>0.039293981481481485</v>
      </c>
      <c r="E32" s="310">
        <v>7</v>
      </c>
      <c r="F32" s="310">
        <v>24</v>
      </c>
      <c r="G32" s="375">
        <v>0.03229166666666667</v>
      </c>
      <c r="H32" s="352">
        <f t="shared" si="0"/>
        <v>1.2168458781362008</v>
      </c>
      <c r="I32" s="15">
        <v>57</v>
      </c>
      <c r="J32" s="353">
        <v>0.03302083333333334</v>
      </c>
    </row>
    <row r="33" spans="1:10" s="15" customFormat="1" ht="15">
      <c r="A33" s="307">
        <v>27</v>
      </c>
      <c r="B33" s="308" t="s">
        <v>413</v>
      </c>
      <c r="C33" s="308" t="s">
        <v>137</v>
      </c>
      <c r="D33" s="309">
        <v>0.04017361111111111</v>
      </c>
      <c r="E33" s="310">
        <v>8</v>
      </c>
      <c r="F33" s="310">
        <v>23</v>
      </c>
      <c r="G33" s="375">
        <v>0.03398148148148148</v>
      </c>
      <c r="H33" s="352">
        <f t="shared" si="0"/>
        <v>1.1822207084468666</v>
      </c>
      <c r="I33" s="15">
        <v>67</v>
      </c>
      <c r="J33" s="353">
        <v>0.034305555555555554</v>
      </c>
    </row>
    <row r="34" spans="1:10" s="15" customFormat="1" ht="15">
      <c r="A34" s="307">
        <v>28</v>
      </c>
      <c r="B34" s="308" t="s">
        <v>218</v>
      </c>
      <c r="C34" s="308" t="s">
        <v>393</v>
      </c>
      <c r="D34" s="309">
        <v>0.04024305555555556</v>
      </c>
      <c r="E34" s="310">
        <v>9</v>
      </c>
      <c r="F34" s="310">
        <v>22</v>
      </c>
      <c r="G34" s="375">
        <v>0.03462962962962963</v>
      </c>
      <c r="H34" s="352">
        <f t="shared" si="0"/>
        <v>1.1620989304812837</v>
      </c>
      <c r="I34" s="15">
        <v>75</v>
      </c>
      <c r="J34" s="353">
        <v>0.03462962962962963</v>
      </c>
    </row>
    <row r="35" spans="1:10" s="15" customFormat="1" ht="15">
      <c r="A35" s="256">
        <v>29</v>
      </c>
      <c r="B35" s="257" t="s">
        <v>360</v>
      </c>
      <c r="C35" s="257" t="s">
        <v>359</v>
      </c>
      <c r="D35" s="311">
        <v>0.04025462962962963</v>
      </c>
      <c r="E35" s="312">
        <v>1</v>
      </c>
      <c r="F35" s="312">
        <v>30</v>
      </c>
      <c r="G35" s="375">
        <v>0.035902777777777777</v>
      </c>
      <c r="H35" s="352">
        <f t="shared" si="0"/>
        <v>1.1212121212121213</v>
      </c>
      <c r="I35" s="15">
        <v>96</v>
      </c>
      <c r="J35" s="353">
        <v>0.0350462962962963</v>
      </c>
    </row>
    <row r="36" spans="1:10" s="15" customFormat="1" ht="15">
      <c r="A36" s="256">
        <v>30</v>
      </c>
      <c r="B36" s="257" t="s">
        <v>187</v>
      </c>
      <c r="C36" s="257" t="s">
        <v>374</v>
      </c>
      <c r="D36" s="311">
        <v>0.040486111111111105</v>
      </c>
      <c r="E36" s="312">
        <v>2</v>
      </c>
      <c r="F36" s="312">
        <v>29</v>
      </c>
      <c r="G36" s="375">
        <v>0.034930555555555555</v>
      </c>
      <c r="H36" s="352">
        <f t="shared" si="0"/>
        <v>1.159045725646123</v>
      </c>
      <c r="I36" s="15">
        <v>77</v>
      </c>
      <c r="J36" s="353">
        <v>0.03484953703703703</v>
      </c>
    </row>
    <row r="37" spans="1:10" s="15" customFormat="1" ht="15">
      <c r="A37" s="307">
        <v>31</v>
      </c>
      <c r="B37" s="308" t="s">
        <v>467</v>
      </c>
      <c r="C37" s="308" t="s">
        <v>135</v>
      </c>
      <c r="D37" s="309">
        <v>0.041527777777777775</v>
      </c>
      <c r="E37" s="310">
        <v>10</v>
      </c>
      <c r="F37" s="310">
        <v>21</v>
      </c>
      <c r="G37" s="375">
        <v>0.03290509259259259</v>
      </c>
      <c r="H37" s="352">
        <f t="shared" si="0"/>
        <v>1.262047133309884</v>
      </c>
      <c r="I37" s="15">
        <v>52</v>
      </c>
      <c r="J37" s="353">
        <v>0.033854166666666664</v>
      </c>
    </row>
    <row r="38" spans="1:10" s="15" customFormat="1" ht="15">
      <c r="A38" s="256">
        <v>32</v>
      </c>
      <c r="B38" s="257" t="s">
        <v>317</v>
      </c>
      <c r="C38" s="257" t="s">
        <v>116</v>
      </c>
      <c r="D38" s="311">
        <v>0.041944444444444444</v>
      </c>
      <c r="E38" s="312">
        <v>3</v>
      </c>
      <c r="F38" s="312">
        <v>28</v>
      </c>
      <c r="G38" s="375">
        <v>0.036284722222222225</v>
      </c>
      <c r="H38" s="352">
        <f t="shared" si="0"/>
        <v>1.155980861244019</v>
      </c>
      <c r="I38" s="15">
        <v>80</v>
      </c>
      <c r="J38" s="353">
        <v>0.036076388888888894</v>
      </c>
    </row>
    <row r="39" spans="1:10" s="15" customFormat="1" ht="15">
      <c r="A39" s="256">
        <v>33</v>
      </c>
      <c r="B39" s="257" t="s">
        <v>103</v>
      </c>
      <c r="C39" s="257" t="s">
        <v>151</v>
      </c>
      <c r="D39" s="311">
        <v>0.042337962962962966</v>
      </c>
      <c r="E39" s="312">
        <v>4</v>
      </c>
      <c r="F39" s="312">
        <v>27</v>
      </c>
      <c r="G39" s="375">
        <v>0.036550925925925924</v>
      </c>
      <c r="H39" s="352">
        <f aca="true" t="shared" si="1" ref="H39:H60">+D39/G39</f>
        <v>1.1583280557314757</v>
      </c>
      <c r="I39" s="15">
        <v>78</v>
      </c>
      <c r="J39" s="353">
        <v>0.03642361111111111</v>
      </c>
    </row>
    <row r="40" spans="1:10" s="15" customFormat="1" ht="15">
      <c r="A40" s="307">
        <v>34</v>
      </c>
      <c r="B40" s="308" t="s">
        <v>222</v>
      </c>
      <c r="C40" s="308" t="s">
        <v>221</v>
      </c>
      <c r="D40" s="309">
        <v>0.04265046296296296</v>
      </c>
      <c r="E40" s="310">
        <v>11</v>
      </c>
      <c r="F40" s="310">
        <v>20</v>
      </c>
      <c r="G40" s="375">
        <v>0.03263888888888889</v>
      </c>
      <c r="H40" s="352">
        <f t="shared" si="1"/>
        <v>1.3067375886524821</v>
      </c>
      <c r="I40" s="15">
        <v>51</v>
      </c>
      <c r="J40" s="353">
        <v>0.03363425925925926</v>
      </c>
    </row>
    <row r="41" spans="1:10" s="15" customFormat="1" ht="15">
      <c r="A41" s="313">
        <v>35</v>
      </c>
      <c r="B41" s="314" t="s">
        <v>186</v>
      </c>
      <c r="C41" s="314" t="s">
        <v>163</v>
      </c>
      <c r="D41" s="315">
        <v>0.04369212962962963</v>
      </c>
      <c r="E41" s="316">
        <v>1</v>
      </c>
      <c r="F41" s="316">
        <v>30</v>
      </c>
      <c r="G41" s="375">
        <v>0.03767361111111111</v>
      </c>
      <c r="H41" s="352">
        <f t="shared" si="1"/>
        <v>1.1597542242703534</v>
      </c>
      <c r="I41" s="15">
        <v>76</v>
      </c>
      <c r="J41" s="353">
        <v>0.037627314814814815</v>
      </c>
    </row>
    <row r="42" spans="1:10" s="15" customFormat="1" ht="15">
      <c r="A42" s="256">
        <v>36</v>
      </c>
      <c r="B42" s="257" t="s">
        <v>73</v>
      </c>
      <c r="C42" s="257" t="s">
        <v>373</v>
      </c>
      <c r="D42" s="311">
        <v>0.04395833333333333</v>
      </c>
      <c r="E42" s="312">
        <v>5</v>
      </c>
      <c r="F42" s="312">
        <v>26</v>
      </c>
      <c r="G42" s="375">
        <v>0.03730324074074074</v>
      </c>
      <c r="H42" s="352">
        <f t="shared" si="1"/>
        <v>1.1784052125349052</v>
      </c>
      <c r="I42" s="15">
        <v>69</v>
      </c>
      <c r="J42" s="353">
        <v>0.0375462962962963</v>
      </c>
    </row>
    <row r="43" spans="1:10" s="15" customFormat="1" ht="15">
      <c r="A43" s="256">
        <v>37</v>
      </c>
      <c r="B43" s="257" t="s">
        <v>63</v>
      </c>
      <c r="C43" s="257" t="s">
        <v>178</v>
      </c>
      <c r="D43" s="311">
        <v>0.04501157407407407</v>
      </c>
      <c r="E43" s="312">
        <v>6</v>
      </c>
      <c r="F43" s="312">
        <v>25</v>
      </c>
      <c r="G43" s="375">
        <v>0.035833333333333335</v>
      </c>
      <c r="H43" s="352">
        <f t="shared" si="1"/>
        <v>1.2561369509043927</v>
      </c>
      <c r="I43" s="15">
        <v>53</v>
      </c>
      <c r="J43" s="353">
        <v>0.036736111111111115</v>
      </c>
    </row>
    <row r="44" spans="1:10" s="15" customFormat="1" ht="15">
      <c r="A44" s="313">
        <v>38</v>
      </c>
      <c r="B44" s="314" t="s">
        <v>334</v>
      </c>
      <c r="C44" s="314" t="s">
        <v>335</v>
      </c>
      <c r="D44" s="315">
        <v>0.04694444444444445</v>
      </c>
      <c r="E44" s="316">
        <v>2</v>
      </c>
      <c r="F44" s="316">
        <v>29</v>
      </c>
      <c r="G44" s="375">
        <v>0.041747685185185186</v>
      </c>
      <c r="H44" s="352">
        <f t="shared" si="1"/>
        <v>1.1244801774327697</v>
      </c>
      <c r="I44" s="15">
        <v>95</v>
      </c>
      <c r="J44" s="353">
        <v>0.0409375</v>
      </c>
    </row>
    <row r="45" spans="1:10" s="15" customFormat="1" ht="15">
      <c r="A45" s="317">
        <v>39</v>
      </c>
      <c r="B45" s="318" t="s">
        <v>381</v>
      </c>
      <c r="C45" s="318" t="s">
        <v>200</v>
      </c>
      <c r="D45" s="319">
        <v>0.04725694444444445</v>
      </c>
      <c r="E45" s="320">
        <v>1</v>
      </c>
      <c r="F45" s="320">
        <v>30</v>
      </c>
      <c r="G45" s="375">
        <v>0.04114583333333333</v>
      </c>
      <c r="H45" s="352">
        <f t="shared" si="1"/>
        <v>1.148523206751055</v>
      </c>
      <c r="I45" s="15">
        <v>84</v>
      </c>
      <c r="J45" s="353">
        <v>0.040775462962962965</v>
      </c>
    </row>
    <row r="46" spans="1:8" ht="15">
      <c r="A46" s="378">
        <v>40</v>
      </c>
      <c r="B46" s="377" t="s">
        <v>540</v>
      </c>
      <c r="C46" s="377" t="s">
        <v>541</v>
      </c>
      <c r="D46" s="380">
        <v>0.047962962962962964</v>
      </c>
      <c r="G46" s="375"/>
      <c r="H46" s="352"/>
    </row>
    <row r="47" spans="1:10" s="15" customFormat="1" ht="15">
      <c r="A47" s="317">
        <v>41</v>
      </c>
      <c r="B47" s="318" t="s">
        <v>189</v>
      </c>
      <c r="C47" s="318" t="s">
        <v>135</v>
      </c>
      <c r="D47" s="319">
        <v>0.04804398148148148</v>
      </c>
      <c r="E47" s="320">
        <v>2</v>
      </c>
      <c r="F47" s="320">
        <v>29</v>
      </c>
      <c r="G47" s="375">
        <v>0.0421412037037037</v>
      </c>
      <c r="H47" s="352">
        <f t="shared" si="1"/>
        <v>1.1400714089535842</v>
      </c>
      <c r="I47" s="15">
        <v>91</v>
      </c>
      <c r="J47" s="353">
        <v>0.041493055555555554</v>
      </c>
    </row>
    <row r="48" spans="1:10" s="15" customFormat="1" ht="15">
      <c r="A48" s="313">
        <v>42</v>
      </c>
      <c r="B48" s="314" t="s">
        <v>31</v>
      </c>
      <c r="C48" s="314" t="s">
        <v>542</v>
      </c>
      <c r="D48" s="315">
        <v>0.048344907407407406</v>
      </c>
      <c r="E48" s="316">
        <v>3</v>
      </c>
      <c r="F48" s="316">
        <v>28</v>
      </c>
      <c r="G48" s="375">
        <v>0.03940972222222222</v>
      </c>
      <c r="H48" s="352">
        <f t="shared" si="1"/>
        <v>1.2267254038179147</v>
      </c>
      <c r="I48" s="15">
        <v>56</v>
      </c>
      <c r="J48" s="353">
        <v>0.040185185185185185</v>
      </c>
    </row>
    <row r="49" spans="1:10" s="15" customFormat="1" ht="15">
      <c r="A49" s="317">
        <v>43</v>
      </c>
      <c r="B49" s="318" t="s">
        <v>218</v>
      </c>
      <c r="C49" s="318" t="s">
        <v>292</v>
      </c>
      <c r="D49" s="319">
        <v>0.048495370370370376</v>
      </c>
      <c r="E49" s="320">
        <v>3</v>
      </c>
      <c r="F49" s="320">
        <v>28</v>
      </c>
      <c r="G49" s="375">
        <v>0.04247685185185185</v>
      </c>
      <c r="H49" s="352">
        <f t="shared" si="1"/>
        <v>1.141689373297003</v>
      </c>
      <c r="I49" s="15">
        <v>88</v>
      </c>
      <c r="J49" s="353">
        <v>0.041944444444444444</v>
      </c>
    </row>
    <row r="50" spans="1:10" s="15" customFormat="1" ht="15">
      <c r="A50" s="317">
        <v>44</v>
      </c>
      <c r="B50" s="318" t="s">
        <v>265</v>
      </c>
      <c r="C50" s="318" t="s">
        <v>264</v>
      </c>
      <c r="D50" s="319">
        <v>0.048854166666666664</v>
      </c>
      <c r="E50" s="320">
        <v>4</v>
      </c>
      <c r="F50" s="320">
        <v>27</v>
      </c>
      <c r="G50" s="375">
        <v>0.04159722222222222</v>
      </c>
      <c r="H50" s="352">
        <f t="shared" si="1"/>
        <v>1.174457429048414</v>
      </c>
      <c r="I50" s="15">
        <v>71</v>
      </c>
      <c r="J50" s="353">
        <v>0.04175925925925926</v>
      </c>
    </row>
    <row r="51" spans="1:10" s="15" customFormat="1" ht="15">
      <c r="A51" s="313">
        <v>45</v>
      </c>
      <c r="B51" s="314" t="s">
        <v>194</v>
      </c>
      <c r="C51" s="314" t="s">
        <v>145</v>
      </c>
      <c r="D51" s="315">
        <v>0.04920138888888889</v>
      </c>
      <c r="E51" s="316">
        <v>4</v>
      </c>
      <c r="F51" s="316">
        <v>27</v>
      </c>
      <c r="G51" s="375">
        <v>0.03998842592592593</v>
      </c>
      <c r="H51" s="352">
        <f t="shared" si="1"/>
        <v>1.2303907380607815</v>
      </c>
      <c r="I51" s="15">
        <v>55</v>
      </c>
      <c r="J51" s="353">
        <v>0.04079861111111111</v>
      </c>
    </row>
    <row r="52" spans="1:10" s="15" customFormat="1" ht="15">
      <c r="A52" s="317">
        <v>46</v>
      </c>
      <c r="B52" s="318" t="s">
        <v>383</v>
      </c>
      <c r="C52" s="318" t="s">
        <v>382</v>
      </c>
      <c r="D52" s="319">
        <v>0.04928240740740741</v>
      </c>
      <c r="E52" s="320">
        <v>5</v>
      </c>
      <c r="F52" s="320">
        <v>26</v>
      </c>
      <c r="G52" s="375">
        <v>0.0415625</v>
      </c>
      <c r="H52" s="352">
        <f t="shared" si="1"/>
        <v>1.185742133110554</v>
      </c>
      <c r="I52" s="15">
        <v>65</v>
      </c>
      <c r="J52" s="353">
        <v>0.0419675925925926</v>
      </c>
    </row>
    <row r="53" spans="1:10" s="15" customFormat="1" ht="15">
      <c r="A53" s="317">
        <v>47</v>
      </c>
      <c r="B53" s="318" t="s">
        <v>224</v>
      </c>
      <c r="C53" s="318" t="s">
        <v>263</v>
      </c>
      <c r="D53" s="319">
        <v>0.049386574074074076</v>
      </c>
      <c r="E53" s="320">
        <v>6</v>
      </c>
      <c r="F53" s="320">
        <v>25</v>
      </c>
      <c r="G53" s="375">
        <v>0.042256944444444444</v>
      </c>
      <c r="H53" s="352">
        <f t="shared" si="1"/>
        <v>1.1687208983840045</v>
      </c>
      <c r="I53" s="15">
        <v>73</v>
      </c>
      <c r="J53" s="353">
        <v>0.042337962962962966</v>
      </c>
    </row>
    <row r="54" spans="1:10" s="15" customFormat="1" ht="15">
      <c r="A54" s="317">
        <v>48</v>
      </c>
      <c r="B54" s="318" t="s">
        <v>234</v>
      </c>
      <c r="C54" s="318" t="s">
        <v>230</v>
      </c>
      <c r="D54" s="319">
        <v>0.049756944444444444</v>
      </c>
      <c r="E54" s="320">
        <v>7</v>
      </c>
      <c r="F54" s="320">
        <v>24</v>
      </c>
      <c r="G54" s="375">
        <v>0.04231481481481481</v>
      </c>
      <c r="H54" s="352">
        <f t="shared" si="1"/>
        <v>1.175875273522976</v>
      </c>
      <c r="I54" s="15">
        <v>70</v>
      </c>
      <c r="J54" s="353">
        <v>0.04252314814814814</v>
      </c>
    </row>
    <row r="55" spans="1:8" ht="15">
      <c r="A55" s="378">
        <v>49</v>
      </c>
      <c r="B55" s="377" t="s">
        <v>543</v>
      </c>
      <c r="C55" s="377" t="s">
        <v>544</v>
      </c>
      <c r="D55" s="380">
        <v>0.05025462962962963</v>
      </c>
      <c r="G55" s="375"/>
      <c r="H55" s="352"/>
    </row>
    <row r="56" spans="1:10" s="15" customFormat="1" ht="15">
      <c r="A56" s="317">
        <v>50</v>
      </c>
      <c r="B56" s="318" t="s">
        <v>390</v>
      </c>
      <c r="C56" s="318" t="s">
        <v>207</v>
      </c>
      <c r="D56" s="319">
        <v>0.050740740740740746</v>
      </c>
      <c r="E56" s="320">
        <v>8</v>
      </c>
      <c r="F56" s="320">
        <v>23</v>
      </c>
      <c r="G56" s="375">
        <v>0.044444444444444446</v>
      </c>
      <c r="H56" s="352">
        <f t="shared" si="1"/>
        <v>1.1416666666666668</v>
      </c>
      <c r="I56" s="15">
        <v>89</v>
      </c>
      <c r="J56" s="353">
        <v>0.04387731481481481</v>
      </c>
    </row>
    <row r="57" spans="1:10" s="15" customFormat="1" ht="15">
      <c r="A57" s="317">
        <v>51</v>
      </c>
      <c r="B57" s="318" t="s">
        <v>519</v>
      </c>
      <c r="C57" s="318" t="s">
        <v>210</v>
      </c>
      <c r="D57" s="319">
        <v>0.05210648148148148</v>
      </c>
      <c r="E57" s="320">
        <v>9</v>
      </c>
      <c r="F57" s="320">
        <v>22</v>
      </c>
      <c r="G57" s="375">
        <v>0.04321759259259259</v>
      </c>
      <c r="H57" s="352">
        <f t="shared" si="1"/>
        <v>1.2056775575790037</v>
      </c>
      <c r="I57" s="15">
        <v>60</v>
      </c>
      <c r="J57" s="353">
        <v>0.04383101851851852</v>
      </c>
    </row>
    <row r="58" spans="1:10" s="15" customFormat="1" ht="15">
      <c r="A58" s="317">
        <v>52</v>
      </c>
      <c r="B58" s="318" t="s">
        <v>392</v>
      </c>
      <c r="C58" s="318" t="s">
        <v>211</v>
      </c>
      <c r="D58" s="319">
        <v>0.05376157407407408</v>
      </c>
      <c r="E58" s="320">
        <v>10</v>
      </c>
      <c r="F58" s="320">
        <v>21</v>
      </c>
      <c r="G58" s="375">
        <v>0.044849537037037035</v>
      </c>
      <c r="H58" s="352">
        <f t="shared" si="1"/>
        <v>1.198709677419355</v>
      </c>
      <c r="I58" s="15">
        <v>62</v>
      </c>
      <c r="J58" s="353">
        <v>0.04538194444444444</v>
      </c>
    </row>
    <row r="59" spans="1:10" s="15" customFormat="1" ht="15">
      <c r="A59" s="317">
        <v>53</v>
      </c>
      <c r="B59" s="318" t="s">
        <v>245</v>
      </c>
      <c r="C59" s="318" t="s">
        <v>244</v>
      </c>
      <c r="D59" s="319">
        <v>0.05565972222222223</v>
      </c>
      <c r="E59" s="320">
        <v>11</v>
      </c>
      <c r="F59" s="320">
        <v>20</v>
      </c>
      <c r="G59" s="375">
        <v>0.04880787037037037</v>
      </c>
      <c r="H59" s="352">
        <f t="shared" si="1"/>
        <v>1.140384159354992</v>
      </c>
      <c r="I59" s="15">
        <v>90</v>
      </c>
      <c r="J59" s="353">
        <v>0.04819444444444444</v>
      </c>
    </row>
    <row r="60" spans="1:10" s="15" customFormat="1" ht="15">
      <c r="A60" s="317">
        <v>54</v>
      </c>
      <c r="B60" s="318" t="s">
        <v>507</v>
      </c>
      <c r="C60" s="318" t="s">
        <v>178</v>
      </c>
      <c r="D60" s="319">
        <v>0.058229166666666665</v>
      </c>
      <c r="E60" s="320">
        <v>12</v>
      </c>
      <c r="F60" s="320">
        <v>19</v>
      </c>
      <c r="G60" s="375">
        <v>0.04791666666666666</v>
      </c>
      <c r="H60" s="352">
        <f t="shared" si="1"/>
        <v>1.2152173913043478</v>
      </c>
      <c r="I60" s="15">
        <v>58</v>
      </c>
      <c r="J60" s="353">
        <v>0.048611111111111105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6"/>
  <sheetViews>
    <sheetView showGridLines="0" zoomScalePageLayoutView="0" workbookViewId="0" topLeftCell="A35">
      <selection activeCell="C60" sqref="C60"/>
    </sheetView>
  </sheetViews>
  <sheetFormatPr defaultColWidth="9.140625" defaultRowHeight="15"/>
  <cols>
    <col min="2" max="2" width="10.7109375" style="0" bestFit="1" customWidth="1"/>
    <col min="3" max="3" width="11.57421875" style="0" bestFit="1" customWidth="1"/>
  </cols>
  <sheetData>
    <row r="1" spans="1:7" ht="18">
      <c r="A1" s="246" t="s">
        <v>514</v>
      </c>
      <c r="G1" s="344"/>
    </row>
    <row r="2" spans="1:10" ht="15">
      <c r="A2" s="230"/>
      <c r="G2" s="347" t="s">
        <v>475</v>
      </c>
      <c r="H2" s="346"/>
      <c r="I2" s="346"/>
      <c r="J2" s="347" t="s">
        <v>13</v>
      </c>
    </row>
    <row r="3" spans="2:10" s="251" customFormat="1" ht="18" customHeight="1">
      <c r="B3" s="248"/>
      <c r="C3" s="247"/>
      <c r="D3" s="348"/>
      <c r="G3" s="347" t="s">
        <v>476</v>
      </c>
      <c r="H3" s="346"/>
      <c r="I3" s="346"/>
      <c r="J3" s="347" t="s">
        <v>515</v>
      </c>
    </row>
    <row r="4" spans="1:10" s="251" customFormat="1" ht="18" customHeight="1">
      <c r="A4" s="246"/>
      <c r="B4" s="248"/>
      <c r="C4" s="247"/>
      <c r="D4" s="348"/>
      <c r="G4" s="345" t="s">
        <v>454</v>
      </c>
      <c r="H4" s="346"/>
      <c r="I4" s="346"/>
      <c r="J4" s="345" t="s">
        <v>454</v>
      </c>
    </row>
    <row r="5" spans="1:10" s="350" customFormat="1" ht="15">
      <c r="A5" s="82" t="s">
        <v>227</v>
      </c>
      <c r="B5" s="248"/>
      <c r="C5" s="248"/>
      <c r="D5" s="349"/>
      <c r="G5" s="345" t="s">
        <v>477</v>
      </c>
      <c r="H5" s="347" t="s">
        <v>477</v>
      </c>
      <c r="I5" s="347" t="s">
        <v>477</v>
      </c>
      <c r="J5" s="345" t="s">
        <v>477</v>
      </c>
    </row>
    <row r="6" spans="1:10" s="350" customFormat="1" ht="15">
      <c r="A6" s="254" t="s">
        <v>20</v>
      </c>
      <c r="B6" s="254" t="s">
        <v>17</v>
      </c>
      <c r="C6" s="254" t="s">
        <v>18</v>
      </c>
      <c r="D6" s="349" t="s">
        <v>349</v>
      </c>
      <c r="E6" s="80" t="s">
        <v>20</v>
      </c>
      <c r="F6" s="80" t="s">
        <v>216</v>
      </c>
      <c r="G6" s="345" t="s">
        <v>349</v>
      </c>
      <c r="H6" s="347" t="s">
        <v>478</v>
      </c>
      <c r="I6" s="351" t="s">
        <v>216</v>
      </c>
      <c r="J6" s="345" t="s">
        <v>349</v>
      </c>
    </row>
    <row r="7" spans="1:7" ht="15">
      <c r="A7" s="374">
        <v>1</v>
      </c>
      <c r="B7" s="268" t="s">
        <v>317</v>
      </c>
      <c r="C7" s="268" t="s">
        <v>428</v>
      </c>
      <c r="D7" s="375">
        <v>0.02962615740740741</v>
      </c>
      <c r="E7" s="231"/>
      <c r="F7" s="231"/>
      <c r="G7" s="375"/>
    </row>
    <row r="8" spans="1:10" s="15" customFormat="1" ht="15">
      <c r="A8" s="295">
        <v>2</v>
      </c>
      <c r="B8" s="296" t="s">
        <v>52</v>
      </c>
      <c r="C8" s="296" t="s">
        <v>274</v>
      </c>
      <c r="D8" s="297">
        <v>0.03007986111111111</v>
      </c>
      <c r="E8" s="298">
        <v>1</v>
      </c>
      <c r="F8" s="298">
        <v>30</v>
      </c>
      <c r="G8" s="375">
        <v>0.02621527777777778</v>
      </c>
      <c r="H8" s="352">
        <f aca="true" t="shared" si="0" ref="H8:H16">+D8/G8</f>
        <v>1.1474172185430462</v>
      </c>
      <c r="I8" s="15">
        <v>77</v>
      </c>
      <c r="J8" s="353">
        <v>0.02616898148148148</v>
      </c>
    </row>
    <row r="9" spans="1:10" s="15" customFormat="1" ht="15">
      <c r="A9" s="303">
        <v>3</v>
      </c>
      <c r="B9" s="304" t="s">
        <v>187</v>
      </c>
      <c r="C9" s="304" t="s">
        <v>77</v>
      </c>
      <c r="D9" s="305">
        <v>0.03292824074074074</v>
      </c>
      <c r="E9" s="306">
        <v>1</v>
      </c>
      <c r="F9" s="306">
        <v>30</v>
      </c>
      <c r="G9" s="375">
        <v>0.028125</v>
      </c>
      <c r="H9" s="352">
        <f t="shared" si="0"/>
        <v>1.1707818930041152</v>
      </c>
      <c r="I9" s="15">
        <v>68</v>
      </c>
      <c r="J9" s="353">
        <v>0.0284375</v>
      </c>
    </row>
    <row r="10" spans="1:10" s="15" customFormat="1" ht="15">
      <c r="A10" s="303">
        <v>4</v>
      </c>
      <c r="B10" s="304" t="s">
        <v>67</v>
      </c>
      <c r="C10" s="304" t="s">
        <v>68</v>
      </c>
      <c r="D10" s="305">
        <v>0.03362847222222222</v>
      </c>
      <c r="E10" s="306">
        <v>2</v>
      </c>
      <c r="F10" s="306">
        <v>29</v>
      </c>
      <c r="G10" s="375">
        <v>0.029166666666666664</v>
      </c>
      <c r="H10" s="352">
        <f t="shared" si="0"/>
        <v>1.1529761904761906</v>
      </c>
      <c r="I10" s="15">
        <v>74</v>
      </c>
      <c r="J10" s="353">
        <v>0.02921296296296296</v>
      </c>
    </row>
    <row r="11" spans="1:10" s="15" customFormat="1" ht="15">
      <c r="A11" s="299">
        <v>5</v>
      </c>
      <c r="B11" s="300" t="s">
        <v>243</v>
      </c>
      <c r="C11" s="300" t="s">
        <v>275</v>
      </c>
      <c r="D11" s="301">
        <v>0.03375810185185185</v>
      </c>
      <c r="E11" s="302">
        <v>1</v>
      </c>
      <c r="F11" s="302">
        <v>30</v>
      </c>
      <c r="G11" s="375">
        <v>0.030381944444444444</v>
      </c>
      <c r="H11" s="352">
        <f t="shared" si="0"/>
        <v>1.1111238095238096</v>
      </c>
      <c r="I11" s="15">
        <v>92</v>
      </c>
      <c r="J11" s="353">
        <v>0.0296875</v>
      </c>
    </row>
    <row r="12" spans="1:10" s="15" customFormat="1" ht="15">
      <c r="A12" s="299">
        <v>6</v>
      </c>
      <c r="B12" s="300" t="s">
        <v>115</v>
      </c>
      <c r="C12" s="300" t="s">
        <v>116</v>
      </c>
      <c r="D12" s="301">
        <v>0.034193287037037036</v>
      </c>
      <c r="E12" s="302">
        <v>2</v>
      </c>
      <c r="F12" s="302">
        <v>29</v>
      </c>
      <c r="G12" s="375">
        <v>0.030381944444444444</v>
      </c>
      <c r="H12" s="352">
        <f t="shared" si="0"/>
        <v>1.125447619047619</v>
      </c>
      <c r="I12" s="15">
        <v>89</v>
      </c>
      <c r="J12" s="353">
        <v>0.029814814814814815</v>
      </c>
    </row>
    <row r="13" spans="1:10" s="15" customFormat="1" ht="15">
      <c r="A13" s="307">
        <v>7</v>
      </c>
      <c r="B13" s="308" t="s">
        <v>259</v>
      </c>
      <c r="C13" s="308" t="s">
        <v>256</v>
      </c>
      <c r="D13" s="309">
        <v>0.03422222222222222</v>
      </c>
      <c r="E13" s="310">
        <v>1</v>
      </c>
      <c r="F13" s="310">
        <v>30</v>
      </c>
      <c r="G13" s="375">
        <v>0.03167824074074074</v>
      </c>
      <c r="H13" s="352">
        <f t="shared" si="0"/>
        <v>1.0803069053708438</v>
      </c>
      <c r="I13" s="15">
        <v>99</v>
      </c>
      <c r="J13" s="353">
        <v>0.030671296296296297</v>
      </c>
    </row>
    <row r="14" spans="1:10" s="15" customFormat="1" ht="15">
      <c r="A14" s="303">
        <v>8</v>
      </c>
      <c r="B14" s="304" t="s">
        <v>438</v>
      </c>
      <c r="C14" s="304" t="s">
        <v>93</v>
      </c>
      <c r="D14" s="305">
        <v>0.034506944444444444</v>
      </c>
      <c r="E14" s="306">
        <v>3</v>
      </c>
      <c r="F14" s="306">
        <v>28</v>
      </c>
      <c r="G14" s="375">
        <v>0.029166666666666664</v>
      </c>
      <c r="H14" s="352">
        <f t="shared" si="0"/>
        <v>1.1830952380952382</v>
      </c>
      <c r="I14" s="15">
        <v>60</v>
      </c>
      <c r="J14" s="353">
        <v>0.029826388888888885</v>
      </c>
    </row>
    <row r="15" spans="1:10" s="15" customFormat="1" ht="15">
      <c r="A15" s="299">
        <v>9</v>
      </c>
      <c r="B15" s="300" t="s">
        <v>220</v>
      </c>
      <c r="C15" s="300" t="s">
        <v>354</v>
      </c>
      <c r="D15" s="301">
        <v>0.03528009259259259</v>
      </c>
      <c r="E15" s="302">
        <v>3</v>
      </c>
      <c r="F15" s="302">
        <v>28</v>
      </c>
      <c r="G15" s="375">
        <v>0.031030092592592592</v>
      </c>
      <c r="H15" s="352">
        <f t="shared" si="0"/>
        <v>1.1369638194703469</v>
      </c>
      <c r="I15" s="15">
        <v>83</v>
      </c>
      <c r="J15" s="353">
        <v>0.03071759259259259</v>
      </c>
    </row>
    <row r="16" spans="1:10" s="15" customFormat="1" ht="15">
      <c r="A16" s="299">
        <v>10</v>
      </c>
      <c r="B16" s="300" t="s">
        <v>219</v>
      </c>
      <c r="C16" s="300" t="s">
        <v>241</v>
      </c>
      <c r="D16" s="301">
        <v>0.03578819444444444</v>
      </c>
      <c r="E16" s="302">
        <v>4</v>
      </c>
      <c r="F16" s="302">
        <v>27</v>
      </c>
      <c r="G16" s="375">
        <v>0.03107638888888889</v>
      </c>
      <c r="H16" s="352">
        <f t="shared" si="0"/>
        <v>1.1516201117318434</v>
      </c>
      <c r="I16" s="15">
        <v>75</v>
      </c>
      <c r="J16" s="353">
        <v>0.03107638888888889</v>
      </c>
    </row>
    <row r="17" spans="1:8" ht="15">
      <c r="A17" s="374">
        <v>11</v>
      </c>
      <c r="B17" s="268" t="s">
        <v>517</v>
      </c>
      <c r="C17" s="268" t="s">
        <v>516</v>
      </c>
      <c r="D17" s="375">
        <v>0.03596875</v>
      </c>
      <c r="E17" s="231"/>
      <c r="F17" s="231"/>
      <c r="G17" s="375"/>
      <c r="H17" s="352"/>
    </row>
    <row r="18" spans="1:10" s="15" customFormat="1" ht="15">
      <c r="A18" s="299">
        <v>12</v>
      </c>
      <c r="B18" s="300" t="s">
        <v>314</v>
      </c>
      <c r="C18" s="300" t="s">
        <v>101</v>
      </c>
      <c r="D18" s="301">
        <v>0.036111111111111115</v>
      </c>
      <c r="E18" s="302">
        <v>5</v>
      </c>
      <c r="F18" s="302">
        <v>26</v>
      </c>
      <c r="G18" s="375">
        <v>0.030868055555555555</v>
      </c>
      <c r="H18" s="352">
        <f aca="true" t="shared" si="1" ref="H18:H32">+D18/G18</f>
        <v>1.1698537682789654</v>
      </c>
      <c r="I18" s="15">
        <v>69</v>
      </c>
      <c r="J18" s="353">
        <v>0.031134259259259257</v>
      </c>
    </row>
    <row r="19" spans="1:10" s="15" customFormat="1" ht="15">
      <c r="A19" s="299">
        <v>13</v>
      </c>
      <c r="B19" s="300" t="s">
        <v>107</v>
      </c>
      <c r="C19" s="300" t="s">
        <v>108</v>
      </c>
      <c r="D19" s="301">
        <v>0.03643402777777778</v>
      </c>
      <c r="E19" s="302">
        <v>6</v>
      </c>
      <c r="F19" s="302">
        <v>25</v>
      </c>
      <c r="G19" s="375">
        <v>0.0315625</v>
      </c>
      <c r="H19" s="352">
        <f t="shared" si="1"/>
        <v>1.1543454345434545</v>
      </c>
      <c r="I19" s="15">
        <v>73</v>
      </c>
      <c r="J19" s="353">
        <v>0.031655092592592596</v>
      </c>
    </row>
    <row r="20" spans="1:10" s="15" customFormat="1" ht="15">
      <c r="A20" s="299">
        <v>14</v>
      </c>
      <c r="B20" s="300" t="s">
        <v>342</v>
      </c>
      <c r="C20" s="300" t="s">
        <v>341</v>
      </c>
      <c r="D20" s="301">
        <v>0.03651736111111111</v>
      </c>
      <c r="E20" s="302">
        <v>7</v>
      </c>
      <c r="F20" s="302">
        <v>24</v>
      </c>
      <c r="G20" s="375">
        <v>0.03107638888888889</v>
      </c>
      <c r="H20" s="352">
        <f t="shared" si="1"/>
        <v>1.1750837988826817</v>
      </c>
      <c r="I20" s="15">
        <v>63</v>
      </c>
      <c r="J20" s="353">
        <v>0.03159722222222222</v>
      </c>
    </row>
    <row r="21" spans="1:10" s="15" customFormat="1" ht="15">
      <c r="A21" s="303">
        <v>15</v>
      </c>
      <c r="B21" s="304" t="s">
        <v>31</v>
      </c>
      <c r="C21" s="304" t="s">
        <v>75</v>
      </c>
      <c r="D21" s="305">
        <v>0.03694328703703704</v>
      </c>
      <c r="E21" s="306">
        <v>4</v>
      </c>
      <c r="F21" s="306">
        <v>27</v>
      </c>
      <c r="G21" s="375">
        <v>0.03146990740740741</v>
      </c>
      <c r="H21" s="352">
        <f t="shared" si="1"/>
        <v>1.1739242368517837</v>
      </c>
      <c r="I21" s="15">
        <v>64</v>
      </c>
      <c r="J21" s="353">
        <v>0.03195601851851852</v>
      </c>
    </row>
    <row r="22" spans="1:10" s="15" customFormat="1" ht="15">
      <c r="A22" s="307">
        <v>16</v>
      </c>
      <c r="B22" s="308" t="s">
        <v>276</v>
      </c>
      <c r="C22" s="308" t="s">
        <v>38</v>
      </c>
      <c r="D22" s="309">
        <v>0.03707986111111111</v>
      </c>
      <c r="E22" s="310">
        <v>2</v>
      </c>
      <c r="F22" s="310">
        <v>29</v>
      </c>
      <c r="G22" s="375">
        <v>0.033414351851851855</v>
      </c>
      <c r="H22" s="352">
        <f t="shared" si="1"/>
        <v>1.10969864911673</v>
      </c>
      <c r="I22" s="15">
        <v>93</v>
      </c>
      <c r="J22" s="353">
        <v>0.03267361111111111</v>
      </c>
    </row>
    <row r="23" spans="1:10" s="15" customFormat="1" ht="15">
      <c r="A23" s="307">
        <v>17</v>
      </c>
      <c r="B23" s="308" t="s">
        <v>189</v>
      </c>
      <c r="C23" s="308" t="s">
        <v>162</v>
      </c>
      <c r="D23" s="309">
        <v>0.037188657407407406</v>
      </c>
      <c r="E23" s="310">
        <v>3</v>
      </c>
      <c r="F23" s="310">
        <v>28</v>
      </c>
      <c r="G23" s="375">
        <v>0.03263888888888889</v>
      </c>
      <c r="H23" s="352">
        <f t="shared" si="1"/>
        <v>1.1393971631205673</v>
      </c>
      <c r="I23" s="15">
        <v>80</v>
      </c>
      <c r="J23" s="353">
        <v>0.03246527777777778</v>
      </c>
    </row>
    <row r="24" spans="1:10" s="15" customFormat="1" ht="15">
      <c r="A24" s="307">
        <v>18</v>
      </c>
      <c r="B24" s="308" t="s">
        <v>314</v>
      </c>
      <c r="C24" s="308" t="s">
        <v>238</v>
      </c>
      <c r="D24" s="309">
        <v>0.03808101851851852</v>
      </c>
      <c r="E24" s="310">
        <v>4</v>
      </c>
      <c r="F24" s="310">
        <v>27</v>
      </c>
      <c r="G24" s="375">
        <v>0.03211805555555556</v>
      </c>
      <c r="H24" s="352">
        <f t="shared" si="1"/>
        <v>1.1856576576576576</v>
      </c>
      <c r="I24" s="15">
        <v>59</v>
      </c>
      <c r="J24" s="353">
        <v>0.032858796296296296</v>
      </c>
    </row>
    <row r="25" spans="1:10" s="15" customFormat="1" ht="15">
      <c r="A25" s="307">
        <v>19</v>
      </c>
      <c r="B25" s="308" t="s">
        <v>431</v>
      </c>
      <c r="C25" s="308" t="s">
        <v>432</v>
      </c>
      <c r="D25" s="309">
        <v>0.038684027777777776</v>
      </c>
      <c r="E25" s="310">
        <v>5</v>
      </c>
      <c r="F25" s="310">
        <v>26</v>
      </c>
      <c r="G25" s="375">
        <v>0.034027777777777775</v>
      </c>
      <c r="H25" s="352">
        <f t="shared" si="1"/>
        <v>1.1368367346938777</v>
      </c>
      <c r="I25" s="15">
        <v>84</v>
      </c>
      <c r="J25" s="353">
        <v>0.033680555555555554</v>
      </c>
    </row>
    <row r="26" spans="1:10" s="15" customFormat="1" ht="15">
      <c r="A26" s="307">
        <v>20</v>
      </c>
      <c r="B26" s="308" t="s">
        <v>63</v>
      </c>
      <c r="C26" s="308" t="s">
        <v>38</v>
      </c>
      <c r="D26" s="309">
        <v>0.03870138888888889</v>
      </c>
      <c r="E26" s="310">
        <v>6</v>
      </c>
      <c r="F26" s="310">
        <v>25</v>
      </c>
      <c r="G26" s="375">
        <v>0.03229166666666667</v>
      </c>
      <c r="H26" s="352">
        <f t="shared" si="1"/>
        <v>1.198494623655914</v>
      </c>
      <c r="I26" s="15">
        <v>58</v>
      </c>
      <c r="J26" s="353">
        <v>0.03307870370370371</v>
      </c>
    </row>
    <row r="27" spans="1:10" s="15" customFormat="1" ht="15">
      <c r="A27" s="307">
        <v>21</v>
      </c>
      <c r="B27" s="308" t="s">
        <v>413</v>
      </c>
      <c r="C27" s="308" t="s">
        <v>137</v>
      </c>
      <c r="D27" s="309">
        <v>0.03911689814814815</v>
      </c>
      <c r="E27" s="310">
        <v>7</v>
      </c>
      <c r="F27" s="310">
        <v>24</v>
      </c>
      <c r="G27" s="375">
        <v>0.03398148148148148</v>
      </c>
      <c r="H27" s="352">
        <f t="shared" si="1"/>
        <v>1.151123978201635</v>
      </c>
      <c r="I27" s="15">
        <v>76</v>
      </c>
      <c r="J27" s="353">
        <v>0.03398148148148148</v>
      </c>
    </row>
    <row r="28" spans="1:10" s="15" customFormat="1" ht="15">
      <c r="A28" s="299">
        <v>22</v>
      </c>
      <c r="B28" s="300" t="s">
        <v>117</v>
      </c>
      <c r="C28" s="300" t="s">
        <v>118</v>
      </c>
      <c r="D28" s="301">
        <v>0.039223379629629636</v>
      </c>
      <c r="E28" s="302">
        <v>8</v>
      </c>
      <c r="F28" s="302">
        <v>23</v>
      </c>
      <c r="G28" s="375">
        <v>0.03125</v>
      </c>
      <c r="H28" s="352">
        <f t="shared" si="1"/>
        <v>1.2551481481481483</v>
      </c>
      <c r="I28" s="15">
        <v>53</v>
      </c>
      <c r="J28" s="353">
        <v>0.03221064814814815</v>
      </c>
    </row>
    <row r="29" spans="1:10" s="15" customFormat="1" ht="15">
      <c r="A29" s="256">
        <v>23</v>
      </c>
      <c r="B29" s="257" t="s">
        <v>139</v>
      </c>
      <c r="C29" s="257" t="s">
        <v>140</v>
      </c>
      <c r="D29" s="311">
        <v>0.03962384259259259</v>
      </c>
      <c r="E29" s="312">
        <v>1</v>
      </c>
      <c r="F29" s="312">
        <v>30</v>
      </c>
      <c r="G29" s="375">
        <v>0.03892361111111111</v>
      </c>
      <c r="H29" s="352">
        <f t="shared" si="1"/>
        <v>1.0179898899791853</v>
      </c>
      <c r="I29" s="15">
        <v>100</v>
      </c>
      <c r="J29" s="353">
        <v>0.03788194444444444</v>
      </c>
    </row>
    <row r="30" spans="1:10" s="15" customFormat="1" ht="15">
      <c r="A30" s="256">
        <v>24</v>
      </c>
      <c r="B30" s="257" t="s">
        <v>187</v>
      </c>
      <c r="C30" s="257" t="s">
        <v>374</v>
      </c>
      <c r="D30" s="311">
        <v>0.04036574074074074</v>
      </c>
      <c r="E30" s="312">
        <v>2</v>
      </c>
      <c r="F30" s="312">
        <v>29</v>
      </c>
      <c r="G30" s="375">
        <v>0.036412037037037034</v>
      </c>
      <c r="H30" s="352">
        <f t="shared" si="1"/>
        <v>1.1085823267641448</v>
      </c>
      <c r="I30" s="15">
        <v>94</v>
      </c>
      <c r="J30" s="353">
        <v>0.035625</v>
      </c>
    </row>
    <row r="31" spans="1:10" s="15" customFormat="1" ht="15">
      <c r="A31" s="307">
        <v>25</v>
      </c>
      <c r="B31" s="308" t="s">
        <v>218</v>
      </c>
      <c r="C31" s="308" t="s">
        <v>393</v>
      </c>
      <c r="D31" s="309">
        <v>0.04057175925925926</v>
      </c>
      <c r="E31" s="310">
        <v>8</v>
      </c>
      <c r="F31" s="310">
        <v>23</v>
      </c>
      <c r="G31" s="375">
        <v>0.034895833333333334</v>
      </c>
      <c r="H31" s="352">
        <f t="shared" si="1"/>
        <v>1.162653399668325</v>
      </c>
      <c r="I31" s="15">
        <v>72</v>
      </c>
      <c r="J31" s="353">
        <v>0.035034722222222224</v>
      </c>
    </row>
    <row r="32" spans="1:10" s="15" customFormat="1" ht="15">
      <c r="A32" s="256">
        <v>26</v>
      </c>
      <c r="B32" s="257" t="s">
        <v>317</v>
      </c>
      <c r="C32" s="257" t="s">
        <v>116</v>
      </c>
      <c r="D32" s="311">
        <v>0.04106828703703704</v>
      </c>
      <c r="E32" s="312">
        <v>3</v>
      </c>
      <c r="F32" s="312">
        <v>28</v>
      </c>
      <c r="G32" s="375">
        <v>0.035069444444444445</v>
      </c>
      <c r="H32" s="352">
        <f t="shared" si="1"/>
        <v>1.1710561056105613</v>
      </c>
      <c r="I32" s="15">
        <v>67</v>
      </c>
      <c r="J32" s="353">
        <v>0.035416666666666666</v>
      </c>
    </row>
    <row r="33" spans="1:8" ht="15">
      <c r="A33" s="374">
        <v>27</v>
      </c>
      <c r="B33" s="268" t="s">
        <v>518</v>
      </c>
      <c r="C33" s="268" t="s">
        <v>178</v>
      </c>
      <c r="D33" s="375">
        <v>0.041414351851851855</v>
      </c>
      <c r="E33" s="231"/>
      <c r="F33" s="231"/>
      <c r="G33" s="375"/>
      <c r="H33" s="352"/>
    </row>
    <row r="34" spans="1:10" s="15" customFormat="1" ht="15">
      <c r="A34" s="256">
        <v>28</v>
      </c>
      <c r="B34" s="257" t="s">
        <v>63</v>
      </c>
      <c r="C34" s="257" t="s">
        <v>178</v>
      </c>
      <c r="D34" s="311">
        <v>0.041839120370370374</v>
      </c>
      <c r="E34" s="312">
        <v>4</v>
      </c>
      <c r="F34" s="312">
        <v>27</v>
      </c>
      <c r="G34" s="375">
        <v>0.03680555555555556</v>
      </c>
      <c r="H34" s="352">
        <f aca="true" t="shared" si="2" ref="H34:H56">+D34/G34</f>
        <v>1.1367610062893083</v>
      </c>
      <c r="I34" s="15">
        <v>85</v>
      </c>
      <c r="J34" s="353">
        <v>0.03641203703703704</v>
      </c>
    </row>
    <row r="35" spans="1:10" s="15" customFormat="1" ht="15">
      <c r="A35" s="256">
        <v>29</v>
      </c>
      <c r="B35" s="257" t="s">
        <v>321</v>
      </c>
      <c r="C35" s="257" t="s">
        <v>190</v>
      </c>
      <c r="D35" s="311">
        <v>0.04214236111111111</v>
      </c>
      <c r="E35" s="312">
        <v>5</v>
      </c>
      <c r="F35" s="312">
        <v>26</v>
      </c>
      <c r="G35" s="375">
        <v>0.03741898148148148</v>
      </c>
      <c r="H35" s="352">
        <f t="shared" si="2"/>
        <v>1.1262295081967215</v>
      </c>
      <c r="I35" s="15">
        <v>88</v>
      </c>
      <c r="J35" s="353">
        <v>0.036898148148148145</v>
      </c>
    </row>
    <row r="36" spans="1:10" s="15" customFormat="1" ht="15">
      <c r="A36" s="256">
        <v>30</v>
      </c>
      <c r="B36" s="257" t="s">
        <v>367</v>
      </c>
      <c r="C36" s="257" t="s">
        <v>167</v>
      </c>
      <c r="D36" s="311">
        <v>0.04214351851851852</v>
      </c>
      <c r="E36" s="312">
        <v>6</v>
      </c>
      <c r="F36" s="312">
        <v>25</v>
      </c>
      <c r="G36" s="375">
        <v>0.035729166666666666</v>
      </c>
      <c r="H36" s="352">
        <f t="shared" si="2"/>
        <v>1.179527048914804</v>
      </c>
      <c r="I36" s="15">
        <v>62</v>
      </c>
      <c r="J36" s="353">
        <v>0.0362962962962963</v>
      </c>
    </row>
    <row r="37" spans="1:10" s="15" customFormat="1" ht="15">
      <c r="A37" s="313">
        <v>31</v>
      </c>
      <c r="B37" s="314" t="s">
        <v>186</v>
      </c>
      <c r="C37" s="314" t="s">
        <v>163</v>
      </c>
      <c r="D37" s="315">
        <v>0.04214699074074074</v>
      </c>
      <c r="E37" s="316">
        <v>1</v>
      </c>
      <c r="F37" s="316">
        <v>30</v>
      </c>
      <c r="G37" s="375">
        <v>0.03854166666666667</v>
      </c>
      <c r="H37" s="352">
        <f t="shared" si="2"/>
        <v>1.0935435435435434</v>
      </c>
      <c r="I37" s="15">
        <v>96</v>
      </c>
      <c r="J37" s="353">
        <v>0.037673611111111116</v>
      </c>
    </row>
    <row r="38" spans="1:10" s="15" customFormat="1" ht="15">
      <c r="A38" s="256">
        <v>32</v>
      </c>
      <c r="B38" s="257" t="s">
        <v>103</v>
      </c>
      <c r="C38" s="257" t="s">
        <v>151</v>
      </c>
      <c r="D38" s="311">
        <v>0.04238888888888889</v>
      </c>
      <c r="E38" s="312">
        <v>7</v>
      </c>
      <c r="F38" s="312">
        <v>24</v>
      </c>
      <c r="G38" s="375">
        <v>0.036111111111111115</v>
      </c>
      <c r="H38" s="352">
        <f t="shared" si="2"/>
        <v>1.1738461538461538</v>
      </c>
      <c r="I38" s="15">
        <v>65</v>
      </c>
      <c r="J38" s="353">
        <v>0.03655092592592593</v>
      </c>
    </row>
    <row r="39" spans="1:10" s="15" customFormat="1" ht="15">
      <c r="A39" s="307">
        <v>33</v>
      </c>
      <c r="B39" s="308" t="s">
        <v>519</v>
      </c>
      <c r="C39" s="308" t="s">
        <v>156</v>
      </c>
      <c r="D39" s="309">
        <v>0.04253587962962963</v>
      </c>
      <c r="E39" s="310">
        <v>9</v>
      </c>
      <c r="F39" s="310">
        <v>22</v>
      </c>
      <c r="G39" s="375">
        <v>0.034027777777777775</v>
      </c>
      <c r="H39" s="352">
        <f t="shared" si="2"/>
        <v>1.2500340136054424</v>
      </c>
      <c r="I39" s="15">
        <v>54</v>
      </c>
      <c r="J39" s="353">
        <v>0.03494212962962963</v>
      </c>
    </row>
    <row r="40" spans="1:10" s="15" customFormat="1" ht="15">
      <c r="A40" s="307">
        <v>34</v>
      </c>
      <c r="B40" s="308" t="s">
        <v>316</v>
      </c>
      <c r="C40" s="308" t="s">
        <v>315</v>
      </c>
      <c r="D40" s="309">
        <v>0.04273148148148148</v>
      </c>
      <c r="E40" s="310">
        <v>10</v>
      </c>
      <c r="F40" s="310">
        <v>21</v>
      </c>
      <c r="G40" s="375">
        <v>0.03194444444444445</v>
      </c>
      <c r="H40" s="352">
        <f t="shared" si="2"/>
        <v>1.3376811594202898</v>
      </c>
      <c r="I40" s="15">
        <v>52</v>
      </c>
      <c r="J40" s="353">
        <v>0.03295138888888889</v>
      </c>
    </row>
    <row r="41" spans="1:10" s="15" customFormat="1" ht="15">
      <c r="A41" s="313">
        <v>35</v>
      </c>
      <c r="B41" s="314" t="s">
        <v>229</v>
      </c>
      <c r="C41" s="314" t="s">
        <v>195</v>
      </c>
      <c r="D41" s="315">
        <v>0.043335648148148144</v>
      </c>
      <c r="E41" s="316">
        <v>2</v>
      </c>
      <c r="F41" s="316">
        <v>29</v>
      </c>
      <c r="G41" s="375">
        <v>0.039317129629629625</v>
      </c>
      <c r="H41" s="352">
        <f t="shared" si="2"/>
        <v>1.1022078304386222</v>
      </c>
      <c r="I41" s="15">
        <v>95</v>
      </c>
      <c r="J41" s="353">
        <v>0.038483796296296294</v>
      </c>
    </row>
    <row r="42" spans="1:10" s="15" customFormat="1" ht="15">
      <c r="A42" s="256">
        <v>36</v>
      </c>
      <c r="B42" s="257" t="s">
        <v>73</v>
      </c>
      <c r="C42" s="257" t="s">
        <v>373</v>
      </c>
      <c r="D42" s="311">
        <v>0.04364699074074074</v>
      </c>
      <c r="E42" s="312">
        <v>8</v>
      </c>
      <c r="F42" s="312">
        <v>23</v>
      </c>
      <c r="G42" s="375">
        <v>0.03819444444444444</v>
      </c>
      <c r="H42" s="352">
        <f t="shared" si="2"/>
        <v>1.1427575757575759</v>
      </c>
      <c r="I42" s="15">
        <v>79</v>
      </c>
      <c r="J42" s="353">
        <v>0.03805555555555555</v>
      </c>
    </row>
    <row r="43" spans="1:10" s="15" customFormat="1" ht="15">
      <c r="A43" s="256">
        <v>37</v>
      </c>
      <c r="B43" s="257" t="s">
        <v>176</v>
      </c>
      <c r="C43" s="257" t="s">
        <v>177</v>
      </c>
      <c r="D43" s="311">
        <v>0.04367939814814815</v>
      </c>
      <c r="E43" s="312">
        <v>9</v>
      </c>
      <c r="F43" s="312">
        <v>22</v>
      </c>
      <c r="G43" s="375">
        <v>0.0375462962962963</v>
      </c>
      <c r="H43" s="352">
        <f t="shared" si="2"/>
        <v>1.1633477188655978</v>
      </c>
      <c r="I43" s="15">
        <v>71</v>
      </c>
      <c r="J43" s="353">
        <v>0.03771990740740741</v>
      </c>
    </row>
    <row r="44" spans="1:10" s="15" customFormat="1" ht="15">
      <c r="A44" s="313">
        <v>38</v>
      </c>
      <c r="B44" s="314" t="s">
        <v>332</v>
      </c>
      <c r="C44" s="314" t="s">
        <v>333</v>
      </c>
      <c r="D44" s="315">
        <v>0.044444444444444446</v>
      </c>
      <c r="E44" s="316">
        <v>3</v>
      </c>
      <c r="F44" s="316">
        <v>28</v>
      </c>
      <c r="G44" s="375">
        <v>0.03966435185185185</v>
      </c>
      <c r="H44" s="352">
        <f t="shared" si="2"/>
        <v>1.1205135687189962</v>
      </c>
      <c r="I44" s="15">
        <v>90</v>
      </c>
      <c r="J44" s="353">
        <v>0.039050925925925926</v>
      </c>
    </row>
    <row r="45" spans="1:10" s="15" customFormat="1" ht="15">
      <c r="A45" s="256">
        <v>39</v>
      </c>
      <c r="B45" s="257" t="s">
        <v>96</v>
      </c>
      <c r="C45" s="257" t="s">
        <v>296</v>
      </c>
      <c r="D45" s="311">
        <v>0.045091435185185186</v>
      </c>
      <c r="E45" s="312">
        <v>10</v>
      </c>
      <c r="F45" s="312">
        <v>21</v>
      </c>
      <c r="G45" s="375">
        <v>0.03819444444444444</v>
      </c>
      <c r="H45" s="352">
        <f t="shared" si="2"/>
        <v>1.1805757575757576</v>
      </c>
      <c r="I45" s="15">
        <v>61</v>
      </c>
      <c r="J45" s="353">
        <v>0.03880787037037037</v>
      </c>
    </row>
    <row r="46" spans="1:10" s="15" customFormat="1" ht="15">
      <c r="A46" s="313">
        <v>40</v>
      </c>
      <c r="B46" s="314" t="s">
        <v>379</v>
      </c>
      <c r="C46" s="314" t="s">
        <v>341</v>
      </c>
      <c r="D46" s="315">
        <v>0.046037037037037036</v>
      </c>
      <c r="E46" s="316">
        <v>4</v>
      </c>
      <c r="F46" s="316">
        <v>27</v>
      </c>
      <c r="G46" s="375">
        <v>0.03928240740740741</v>
      </c>
      <c r="H46" s="352">
        <f t="shared" si="2"/>
        <v>1.1719505008839126</v>
      </c>
      <c r="I46" s="15">
        <v>66</v>
      </c>
      <c r="J46" s="353">
        <v>0.03967592592592593</v>
      </c>
    </row>
    <row r="47" spans="1:10" s="15" customFormat="1" ht="15">
      <c r="A47" s="313">
        <v>41</v>
      </c>
      <c r="B47" s="314" t="s">
        <v>237</v>
      </c>
      <c r="C47" s="314" t="s">
        <v>271</v>
      </c>
      <c r="D47" s="315">
        <v>0.04620717592592593</v>
      </c>
      <c r="E47" s="316">
        <v>5</v>
      </c>
      <c r="F47" s="316">
        <v>26</v>
      </c>
      <c r="G47" s="375">
        <v>0.040625</v>
      </c>
      <c r="H47" s="352">
        <f t="shared" si="2"/>
        <v>1.1374074074074074</v>
      </c>
      <c r="I47" s="15">
        <v>82</v>
      </c>
      <c r="J47" s="353">
        <v>0.040358796296296295</v>
      </c>
    </row>
    <row r="48" spans="1:10" s="15" customFormat="1" ht="15">
      <c r="A48" s="313">
        <v>42</v>
      </c>
      <c r="B48" s="314" t="s">
        <v>520</v>
      </c>
      <c r="C48" s="314" t="s">
        <v>335</v>
      </c>
      <c r="D48" s="315">
        <v>0.04644907407407408</v>
      </c>
      <c r="E48" s="316">
        <v>6</v>
      </c>
      <c r="F48" s="316">
        <v>25</v>
      </c>
      <c r="G48" s="375">
        <v>0.04270833333333333</v>
      </c>
      <c r="H48" s="352">
        <f t="shared" si="2"/>
        <v>1.087588075880759</v>
      </c>
      <c r="I48" s="15">
        <v>98</v>
      </c>
      <c r="J48" s="353">
        <v>0.04174768518518518</v>
      </c>
    </row>
    <row r="49" spans="1:10" s="15" customFormat="1" ht="15">
      <c r="A49" s="256">
        <v>43</v>
      </c>
      <c r="B49" s="257" t="s">
        <v>168</v>
      </c>
      <c r="C49" s="257" t="s">
        <v>371</v>
      </c>
      <c r="D49" s="311">
        <v>0.0470625</v>
      </c>
      <c r="E49" s="312">
        <v>11</v>
      </c>
      <c r="F49" s="312">
        <v>20</v>
      </c>
      <c r="G49" s="375">
        <v>0.03819444444444444</v>
      </c>
      <c r="H49" s="352">
        <f t="shared" si="2"/>
        <v>1.2321818181818183</v>
      </c>
      <c r="I49" s="15">
        <v>55</v>
      </c>
      <c r="J49" s="353">
        <v>0.0390625</v>
      </c>
    </row>
    <row r="50" spans="1:10" s="15" customFormat="1" ht="15">
      <c r="A50" s="313">
        <v>44</v>
      </c>
      <c r="B50" s="314" t="s">
        <v>194</v>
      </c>
      <c r="C50" s="314" t="s">
        <v>145</v>
      </c>
      <c r="D50" s="315">
        <v>0.047274305555555556</v>
      </c>
      <c r="E50" s="316">
        <v>7</v>
      </c>
      <c r="F50" s="316">
        <v>24</v>
      </c>
      <c r="G50" s="375">
        <v>0.039155092592592596</v>
      </c>
      <c r="H50" s="352">
        <f t="shared" si="2"/>
        <v>1.2073603310671002</v>
      </c>
      <c r="I50" s="15">
        <v>57</v>
      </c>
      <c r="J50" s="353">
        <v>0.03998842592592593</v>
      </c>
    </row>
    <row r="51" spans="1:10" s="15" customFormat="1" ht="15">
      <c r="A51" s="317">
        <v>45</v>
      </c>
      <c r="B51" s="318" t="s">
        <v>383</v>
      </c>
      <c r="C51" s="318" t="s">
        <v>382</v>
      </c>
      <c r="D51" s="319">
        <v>0.047447916666666666</v>
      </c>
      <c r="E51" s="320">
        <v>1</v>
      </c>
      <c r="F51" s="320">
        <v>30</v>
      </c>
      <c r="G51" s="375">
        <v>0.04204861111111111</v>
      </c>
      <c r="H51" s="352">
        <f t="shared" si="2"/>
        <v>1.1284062758051197</v>
      </c>
      <c r="I51" s="15">
        <v>87</v>
      </c>
      <c r="J51" s="353">
        <v>0.0415625</v>
      </c>
    </row>
    <row r="52" spans="1:10" s="15" customFormat="1" ht="15">
      <c r="A52" s="317">
        <v>46</v>
      </c>
      <c r="B52" s="318" t="s">
        <v>189</v>
      </c>
      <c r="C52" s="318" t="s">
        <v>135</v>
      </c>
      <c r="D52" s="319">
        <v>0.04782523148148148</v>
      </c>
      <c r="E52" s="320">
        <v>2</v>
      </c>
      <c r="F52" s="320">
        <v>29</v>
      </c>
      <c r="G52" s="375">
        <v>0.043923611111111115</v>
      </c>
      <c r="H52" s="352">
        <f t="shared" si="2"/>
        <v>1.0888274044795783</v>
      </c>
      <c r="I52" s="15">
        <v>97</v>
      </c>
      <c r="J52" s="353">
        <v>0.04300925925925926</v>
      </c>
    </row>
    <row r="53" spans="1:10" s="15" customFormat="1" ht="15">
      <c r="A53" s="317">
        <v>47</v>
      </c>
      <c r="B53" s="318" t="s">
        <v>265</v>
      </c>
      <c r="C53" s="318" t="s">
        <v>264</v>
      </c>
      <c r="D53" s="319">
        <v>0.04785416666666667</v>
      </c>
      <c r="E53" s="320">
        <v>3</v>
      </c>
      <c r="F53" s="320">
        <v>28</v>
      </c>
      <c r="G53" s="375">
        <v>0.04226851851851852</v>
      </c>
      <c r="H53" s="352">
        <f t="shared" si="2"/>
        <v>1.132146768893757</v>
      </c>
      <c r="I53" s="15">
        <v>86</v>
      </c>
      <c r="J53" s="353">
        <v>0.0418287037037037</v>
      </c>
    </row>
    <row r="54" spans="1:10" s="15" customFormat="1" ht="15">
      <c r="A54" s="317">
        <v>48</v>
      </c>
      <c r="B54" s="318" t="s">
        <v>234</v>
      </c>
      <c r="C54" s="318" t="s">
        <v>230</v>
      </c>
      <c r="D54" s="319">
        <v>0.048436342592592586</v>
      </c>
      <c r="E54" s="320">
        <v>4</v>
      </c>
      <c r="F54" s="320">
        <v>27</v>
      </c>
      <c r="G54" s="375">
        <v>0.04253472222222222</v>
      </c>
      <c r="H54" s="352">
        <f t="shared" si="2"/>
        <v>1.138748299319728</v>
      </c>
      <c r="I54" s="15">
        <v>81</v>
      </c>
      <c r="J54" s="353">
        <v>0.04231481481481481</v>
      </c>
    </row>
    <row r="55" spans="1:10" s="15" customFormat="1" ht="15">
      <c r="A55" s="317">
        <v>49</v>
      </c>
      <c r="B55" s="318" t="s">
        <v>224</v>
      </c>
      <c r="C55" s="318" t="s">
        <v>263</v>
      </c>
      <c r="D55" s="319">
        <v>0.04843865740740741</v>
      </c>
      <c r="E55" s="320">
        <v>5</v>
      </c>
      <c r="F55" s="320">
        <v>26</v>
      </c>
      <c r="G55" s="375">
        <v>0.0434375</v>
      </c>
      <c r="H55" s="352">
        <f t="shared" si="2"/>
        <v>1.1151345590194512</v>
      </c>
      <c r="I55" s="15">
        <v>91</v>
      </c>
      <c r="J55" s="353">
        <v>0.042777777777777776</v>
      </c>
    </row>
    <row r="56" spans="1:10" s="15" customFormat="1" ht="15">
      <c r="A56" s="256">
        <v>50</v>
      </c>
      <c r="B56" s="257" t="s">
        <v>521</v>
      </c>
      <c r="C56" s="257" t="s">
        <v>145</v>
      </c>
      <c r="D56" s="311">
        <v>0.04905439814814815</v>
      </c>
      <c r="E56" s="312">
        <v>12</v>
      </c>
      <c r="F56" s="312">
        <v>19</v>
      </c>
      <c r="G56" s="375">
        <v>0.036111111111111115</v>
      </c>
      <c r="H56" s="352">
        <f t="shared" si="2"/>
        <v>1.358429487179487</v>
      </c>
      <c r="I56" s="15">
        <v>51</v>
      </c>
      <c r="J56" s="353">
        <v>0.037152777777777785</v>
      </c>
    </row>
    <row r="57" spans="1:8" ht="15">
      <c r="A57" s="374">
        <v>51</v>
      </c>
      <c r="B57" s="268" t="s">
        <v>225</v>
      </c>
      <c r="C57" s="268" t="s">
        <v>522</v>
      </c>
      <c r="D57" s="375">
        <v>0.05005439814814815</v>
      </c>
      <c r="E57" s="231"/>
      <c r="F57" s="231"/>
      <c r="G57" s="375"/>
      <c r="H57" s="352"/>
    </row>
    <row r="58" spans="1:10" s="15" customFormat="1" ht="15">
      <c r="A58" s="317">
        <v>52</v>
      </c>
      <c r="B58" s="318" t="s">
        <v>218</v>
      </c>
      <c r="C58" s="318" t="s">
        <v>292</v>
      </c>
      <c r="D58" s="319">
        <v>0.05046527777777778</v>
      </c>
      <c r="E58" s="320">
        <v>6</v>
      </c>
      <c r="F58" s="320">
        <v>25</v>
      </c>
      <c r="G58" s="375">
        <v>0.043182870370370365</v>
      </c>
      <c r="H58" s="352">
        <f>+D58/G58</f>
        <v>1.1686411149825786</v>
      </c>
      <c r="I58" s="15">
        <v>70</v>
      </c>
      <c r="J58" s="353">
        <v>0.04340277777777777</v>
      </c>
    </row>
    <row r="59" spans="1:10" s="15" customFormat="1" ht="15">
      <c r="A59" s="317">
        <v>53</v>
      </c>
      <c r="B59" s="318" t="s">
        <v>519</v>
      </c>
      <c r="C59" s="318" t="s">
        <v>210</v>
      </c>
      <c r="D59" s="319">
        <v>0.05189467592592593</v>
      </c>
      <c r="E59" s="320">
        <v>7</v>
      </c>
      <c r="F59" s="320">
        <v>24</v>
      </c>
      <c r="G59" s="375">
        <v>0.0424074074074074</v>
      </c>
      <c r="H59" s="352">
        <f>+D59/G59</f>
        <v>1.2237172489082973</v>
      </c>
      <c r="I59" s="15">
        <v>56</v>
      </c>
      <c r="J59" s="353">
        <v>0.04327546296296297</v>
      </c>
    </row>
    <row r="60" spans="1:10" s="15" customFormat="1" ht="15">
      <c r="A60" s="317">
        <v>54</v>
      </c>
      <c r="B60" s="318" t="s">
        <v>245</v>
      </c>
      <c r="C60" s="318" t="s">
        <v>244</v>
      </c>
      <c r="D60" s="319">
        <v>0.05586458333333333</v>
      </c>
      <c r="E60" s="320">
        <v>8</v>
      </c>
      <c r="F60" s="320">
        <v>23</v>
      </c>
      <c r="G60" s="375">
        <v>0.04878472222222222</v>
      </c>
      <c r="H60" s="352">
        <f>+D60/G60</f>
        <v>1.1451245551601423</v>
      </c>
      <c r="I60" s="15">
        <v>78</v>
      </c>
      <c r="J60" s="353">
        <v>0.04869212962962963</v>
      </c>
    </row>
    <row r="61" spans="1:6" ht="15">
      <c r="A61" s="230"/>
      <c r="B61" s="268"/>
      <c r="C61" s="268"/>
      <c r="D61" s="343"/>
      <c r="E61" s="268"/>
      <c r="F61" s="268"/>
    </row>
    <row r="62" spans="1:6" ht="15">
      <c r="A62" s="230"/>
      <c r="B62" s="268"/>
      <c r="C62" s="268"/>
      <c r="D62" s="343"/>
      <c r="E62" s="268"/>
      <c r="F62" s="268"/>
    </row>
    <row r="63" spans="1:6" ht="15">
      <c r="A63" s="230"/>
      <c r="B63" s="268"/>
      <c r="C63" s="268"/>
      <c r="D63" s="343"/>
      <c r="E63" s="268"/>
      <c r="F63" s="268"/>
    </row>
    <row r="64" spans="1:6" ht="15">
      <c r="A64" s="230"/>
      <c r="B64" s="268"/>
      <c r="C64" s="268"/>
      <c r="D64" s="343"/>
      <c r="E64" s="268"/>
      <c r="F64" s="268"/>
    </row>
    <row r="65" spans="1:6" ht="15">
      <c r="A65" s="230"/>
      <c r="B65" s="268"/>
      <c r="C65" s="268"/>
      <c r="D65" s="343"/>
      <c r="E65" s="268"/>
      <c r="F65" s="268"/>
    </row>
    <row r="66" spans="1:6" ht="15">
      <c r="A66" s="230"/>
      <c r="B66" s="268"/>
      <c r="C66" s="268"/>
      <c r="D66" s="343"/>
      <c r="E66" s="268"/>
      <c r="F66" s="268"/>
    </row>
    <row r="67" spans="1:6" ht="15">
      <c r="A67" s="230"/>
      <c r="B67" s="268"/>
      <c r="C67" s="268"/>
      <c r="D67" s="343"/>
      <c r="E67" s="268"/>
      <c r="F67" s="268"/>
    </row>
    <row r="68" spans="1:6" ht="15">
      <c r="A68" s="230"/>
      <c r="B68" s="268"/>
      <c r="C68" s="268"/>
      <c r="D68" s="343"/>
      <c r="E68" s="268"/>
      <c r="F68" s="268"/>
    </row>
    <row r="69" spans="1:6" ht="15">
      <c r="A69" s="230"/>
      <c r="B69" s="268"/>
      <c r="C69" s="268"/>
      <c r="D69" s="343"/>
      <c r="E69" s="268"/>
      <c r="F69" s="268"/>
    </row>
    <row r="70" spans="1:6" ht="15">
      <c r="A70" s="230"/>
      <c r="B70" s="268"/>
      <c r="C70" s="268"/>
      <c r="D70" s="343"/>
      <c r="E70" s="268"/>
      <c r="F70" s="268"/>
    </row>
    <row r="71" spans="1:6" ht="15">
      <c r="A71" s="230"/>
      <c r="B71" s="268"/>
      <c r="C71" s="268"/>
      <c r="D71" s="268"/>
      <c r="E71" s="268"/>
      <c r="F71" s="268"/>
    </row>
    <row r="72" spans="1:6" ht="15">
      <c r="A72" s="230"/>
      <c r="B72" s="268"/>
      <c r="C72" s="268"/>
      <c r="D72" s="268"/>
      <c r="E72" s="268"/>
      <c r="F72" s="268"/>
    </row>
    <row r="73" spans="1:6" ht="15">
      <c r="A73" s="230"/>
      <c r="B73" s="268"/>
      <c r="C73" s="268"/>
      <c r="D73" s="268"/>
      <c r="E73" s="268"/>
      <c r="F73" s="268"/>
    </row>
    <row r="74" spans="1:6" ht="15">
      <c r="A74" s="230"/>
      <c r="B74" s="268"/>
      <c r="C74" s="268"/>
      <c r="D74" s="268"/>
      <c r="E74" s="268"/>
      <c r="F74" s="268"/>
    </row>
    <row r="75" spans="1:6" ht="15">
      <c r="A75" s="230"/>
      <c r="B75" s="268"/>
      <c r="C75" s="268"/>
      <c r="D75" s="268"/>
      <c r="E75" s="268"/>
      <c r="F75" s="268"/>
    </row>
    <row r="76" spans="1:6" ht="15">
      <c r="A76" s="230"/>
      <c r="B76" s="268"/>
      <c r="C76" s="268"/>
      <c r="D76" s="268"/>
      <c r="E76" s="268"/>
      <c r="F76" s="268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43">
      <selection activeCell="C63" sqref="C63"/>
    </sheetView>
  </sheetViews>
  <sheetFormatPr defaultColWidth="9.140625" defaultRowHeight="15"/>
  <cols>
    <col min="1" max="1" width="9.140625" style="230" customWidth="1"/>
    <col min="2" max="3" width="11.57421875" style="0" bestFit="1" customWidth="1"/>
    <col min="4" max="4" width="7.140625" style="0" bestFit="1" customWidth="1"/>
    <col min="7" max="7" width="9.57421875" style="0" bestFit="1" customWidth="1"/>
    <col min="8" max="8" width="12.7109375" style="0" bestFit="1" customWidth="1"/>
    <col min="9" max="10" width="9.57421875" style="0" bestFit="1" customWidth="1"/>
  </cols>
  <sheetData>
    <row r="1" spans="1:7" ht="18">
      <c r="A1" s="246" t="s">
        <v>479</v>
      </c>
      <c r="G1" s="344"/>
    </row>
    <row r="2" spans="7:10" ht="15">
      <c r="G2" s="345" t="s">
        <v>480</v>
      </c>
      <c r="H2" s="346"/>
      <c r="I2" s="346"/>
      <c r="J2" s="347" t="s">
        <v>475</v>
      </c>
    </row>
    <row r="3" spans="2:10" s="251" customFormat="1" ht="18" customHeight="1">
      <c r="B3" s="247"/>
      <c r="C3" s="248"/>
      <c r="D3" s="348"/>
      <c r="G3" s="345" t="s">
        <v>481</v>
      </c>
      <c r="H3" s="346"/>
      <c r="I3" s="346"/>
      <c r="J3" s="347" t="s">
        <v>476</v>
      </c>
    </row>
    <row r="4" spans="1:10" s="251" customFormat="1" ht="18" customHeight="1">
      <c r="A4" s="246"/>
      <c r="B4" s="247"/>
      <c r="C4" s="248"/>
      <c r="D4" s="348"/>
      <c r="G4" s="345" t="s">
        <v>454</v>
      </c>
      <c r="H4" s="346"/>
      <c r="I4" s="346"/>
      <c r="J4" s="345" t="s">
        <v>454</v>
      </c>
    </row>
    <row r="5" spans="1:10" s="350" customFormat="1" ht="15">
      <c r="A5" s="82" t="s">
        <v>227</v>
      </c>
      <c r="B5" s="248"/>
      <c r="C5" s="248"/>
      <c r="D5" s="349"/>
      <c r="G5" s="345" t="s">
        <v>477</v>
      </c>
      <c r="H5" s="347" t="s">
        <v>477</v>
      </c>
      <c r="I5" s="347" t="s">
        <v>477</v>
      </c>
      <c r="J5" s="345" t="s">
        <v>477</v>
      </c>
    </row>
    <row r="6" spans="1:10" s="350" customFormat="1" ht="15">
      <c r="A6" s="254" t="s">
        <v>20</v>
      </c>
      <c r="B6" s="254" t="s">
        <v>17</v>
      </c>
      <c r="C6" s="254" t="s">
        <v>18</v>
      </c>
      <c r="D6" s="349" t="s">
        <v>349</v>
      </c>
      <c r="E6" s="80" t="s">
        <v>20</v>
      </c>
      <c r="F6" s="80" t="s">
        <v>216</v>
      </c>
      <c r="G6" s="345" t="s">
        <v>349</v>
      </c>
      <c r="H6" s="347" t="s">
        <v>478</v>
      </c>
      <c r="I6" s="351" t="s">
        <v>216</v>
      </c>
      <c r="J6" s="345" t="s">
        <v>349</v>
      </c>
    </row>
    <row r="7" spans="1:10" s="15" customFormat="1" ht="15">
      <c r="A7" s="295">
        <v>1</v>
      </c>
      <c r="B7" s="296" t="s">
        <v>31</v>
      </c>
      <c r="C7" s="296" t="s">
        <v>310</v>
      </c>
      <c r="D7" s="297">
        <v>0.026921296296296297</v>
      </c>
      <c r="E7" s="298">
        <v>1</v>
      </c>
      <c r="F7" s="298">
        <v>30</v>
      </c>
      <c r="G7" s="343">
        <v>0.024826388888888887</v>
      </c>
      <c r="H7" s="352">
        <f>+D7/G7</f>
        <v>1.0843822843822846</v>
      </c>
      <c r="I7" s="15">
        <v>72</v>
      </c>
      <c r="J7" s="353">
        <v>0.02491898148148148</v>
      </c>
    </row>
    <row r="8" spans="1:10" s="15" customFormat="1" ht="15">
      <c r="A8" s="295">
        <v>2</v>
      </c>
      <c r="B8" s="296" t="s">
        <v>33</v>
      </c>
      <c r="C8" s="296" t="s">
        <v>34</v>
      </c>
      <c r="D8" s="297">
        <v>0.027060185185185184</v>
      </c>
      <c r="E8" s="298">
        <v>2</v>
      </c>
      <c r="F8" s="298">
        <v>29</v>
      </c>
      <c r="G8" s="343">
        <v>0.026041666666666668</v>
      </c>
      <c r="H8" s="352">
        <f>+D8/G8</f>
        <v>1.039111111111111</v>
      </c>
      <c r="I8" s="15">
        <v>91</v>
      </c>
      <c r="J8" s="353">
        <v>0.025381944444444447</v>
      </c>
    </row>
    <row r="9" spans="1:9" s="268" customFormat="1" ht="15">
      <c r="A9" s="230">
        <v>3</v>
      </c>
      <c r="B9" s="268" t="s">
        <v>429</v>
      </c>
      <c r="C9" s="268" t="s">
        <v>38</v>
      </c>
      <c r="D9" s="343">
        <v>0.027974537037037037</v>
      </c>
      <c r="E9" s="83"/>
      <c r="G9" s="343"/>
      <c r="H9" s="352"/>
      <c r="I9" s="15"/>
    </row>
    <row r="10" spans="1:10" s="15" customFormat="1" ht="15">
      <c r="A10" s="295">
        <v>4</v>
      </c>
      <c r="B10" s="296" t="s">
        <v>399</v>
      </c>
      <c r="C10" s="296" t="s">
        <v>400</v>
      </c>
      <c r="D10" s="297">
        <v>0.02809027777777778</v>
      </c>
      <c r="E10" s="298">
        <v>3</v>
      </c>
      <c r="F10" s="298">
        <v>28</v>
      </c>
      <c r="G10" s="343">
        <v>0.027256944444444445</v>
      </c>
      <c r="H10" s="352">
        <f aca="true" t="shared" si="0" ref="H10:H46">+D10/G10</f>
        <v>1.0305732484076433</v>
      </c>
      <c r="I10" s="15">
        <v>92</v>
      </c>
      <c r="J10" s="353">
        <v>0.0265625</v>
      </c>
    </row>
    <row r="11" spans="1:10" s="15" customFormat="1" ht="15">
      <c r="A11" s="295">
        <v>5</v>
      </c>
      <c r="B11" s="296" t="s">
        <v>347</v>
      </c>
      <c r="C11" s="296" t="s">
        <v>348</v>
      </c>
      <c r="D11" s="297">
        <v>0.02836805555555556</v>
      </c>
      <c r="E11" s="298">
        <v>4</v>
      </c>
      <c r="F11" s="298">
        <v>27</v>
      </c>
      <c r="G11" s="343">
        <v>0.026736111111111113</v>
      </c>
      <c r="H11" s="352">
        <f t="shared" si="0"/>
        <v>1.061038961038961</v>
      </c>
      <c r="I11" s="15">
        <v>81</v>
      </c>
      <c r="J11" s="353">
        <f>+G11-TIME(0,0,21)</f>
        <v>0.026493055555555558</v>
      </c>
    </row>
    <row r="12" spans="1:10" s="15" customFormat="1" ht="15">
      <c r="A12" s="303">
        <v>6</v>
      </c>
      <c r="B12" s="304" t="s">
        <v>408</v>
      </c>
      <c r="C12" s="304" t="s">
        <v>441</v>
      </c>
      <c r="D12" s="305">
        <v>0.030775462962962966</v>
      </c>
      <c r="E12" s="306">
        <v>1</v>
      </c>
      <c r="F12" s="306">
        <v>30</v>
      </c>
      <c r="G12" s="343">
        <v>0.028819444444444443</v>
      </c>
      <c r="H12" s="352">
        <f t="shared" si="0"/>
        <v>1.0678714859437752</v>
      </c>
      <c r="I12" s="15">
        <v>80</v>
      </c>
      <c r="J12" s="353">
        <v>0.028599537037037034</v>
      </c>
    </row>
    <row r="13" spans="1:10" s="15" customFormat="1" ht="15">
      <c r="A13" s="299">
        <v>7</v>
      </c>
      <c r="B13" s="300" t="s">
        <v>63</v>
      </c>
      <c r="C13" s="300" t="s">
        <v>110</v>
      </c>
      <c r="D13" s="301">
        <v>0.031076388888888886</v>
      </c>
      <c r="E13" s="302">
        <v>1</v>
      </c>
      <c r="F13" s="302">
        <v>30</v>
      </c>
      <c r="G13" s="343">
        <v>0.03090277777777778</v>
      </c>
      <c r="H13" s="352">
        <f t="shared" si="0"/>
        <v>1.0056179775280898</v>
      </c>
      <c r="I13" s="15">
        <v>97</v>
      </c>
      <c r="J13" s="353">
        <v>0.02998842592592593</v>
      </c>
    </row>
    <row r="14" spans="1:10" s="15" customFormat="1" ht="15">
      <c r="A14" s="303">
        <v>8</v>
      </c>
      <c r="B14" s="304" t="s">
        <v>258</v>
      </c>
      <c r="C14" s="304" t="s">
        <v>257</v>
      </c>
      <c r="D14" s="305">
        <v>0.031782407407407405</v>
      </c>
      <c r="E14" s="306">
        <v>2</v>
      </c>
      <c r="F14" s="306">
        <v>29</v>
      </c>
      <c r="G14" s="343">
        <v>0.028125</v>
      </c>
      <c r="H14" s="352">
        <f t="shared" si="0"/>
        <v>1.1300411522633744</v>
      </c>
      <c r="I14" s="15">
        <v>61</v>
      </c>
      <c r="J14" s="353">
        <v>0.02869212962962963</v>
      </c>
    </row>
    <row r="15" spans="1:10" s="15" customFormat="1" ht="15">
      <c r="A15" s="299">
        <v>9</v>
      </c>
      <c r="B15" s="300" t="s">
        <v>321</v>
      </c>
      <c r="C15" s="300" t="s">
        <v>132</v>
      </c>
      <c r="D15" s="301">
        <v>0.03246527777777778</v>
      </c>
      <c r="E15" s="302">
        <v>2</v>
      </c>
      <c r="F15" s="302">
        <v>29</v>
      </c>
      <c r="G15" s="343">
        <v>0.03090277777777778</v>
      </c>
      <c r="H15" s="352">
        <f t="shared" si="0"/>
        <v>1.050561797752809</v>
      </c>
      <c r="I15" s="15">
        <v>86</v>
      </c>
      <c r="J15" s="353">
        <v>0.030462962962962963</v>
      </c>
    </row>
    <row r="16" spans="1:10" s="15" customFormat="1" ht="15">
      <c r="A16" s="299">
        <v>10</v>
      </c>
      <c r="B16" s="300" t="s">
        <v>220</v>
      </c>
      <c r="C16" s="300" t="s">
        <v>354</v>
      </c>
      <c r="D16" s="301">
        <v>0.03290509259259259</v>
      </c>
      <c r="E16" s="302">
        <v>3</v>
      </c>
      <c r="F16" s="302">
        <v>28</v>
      </c>
      <c r="G16" s="343">
        <v>0.03159722222222222</v>
      </c>
      <c r="H16" s="352">
        <f t="shared" si="0"/>
        <v>1.0413919413919412</v>
      </c>
      <c r="I16" s="15">
        <v>89</v>
      </c>
      <c r="J16" s="353">
        <v>0.031030092592592592</v>
      </c>
    </row>
    <row r="17" spans="1:10" s="15" customFormat="1" ht="15">
      <c r="A17" s="299">
        <v>11</v>
      </c>
      <c r="B17" s="300" t="s">
        <v>219</v>
      </c>
      <c r="C17" s="300" t="s">
        <v>275</v>
      </c>
      <c r="D17" s="301">
        <v>0.032916666666666664</v>
      </c>
      <c r="E17" s="302">
        <v>4</v>
      </c>
      <c r="F17" s="302">
        <v>27</v>
      </c>
      <c r="G17" s="343">
        <v>0.030208333333333334</v>
      </c>
      <c r="H17" s="352">
        <f t="shared" si="0"/>
        <v>1.089655172413793</v>
      </c>
      <c r="I17" s="15">
        <v>70</v>
      </c>
      <c r="J17" s="353">
        <v>0.030381944444444444</v>
      </c>
    </row>
    <row r="18" spans="1:10" s="15" customFormat="1" ht="15">
      <c r="A18" s="307">
        <v>12</v>
      </c>
      <c r="B18" s="308" t="s">
        <v>259</v>
      </c>
      <c r="C18" s="308" t="s">
        <v>256</v>
      </c>
      <c r="D18" s="309">
        <v>0.03295138888888889</v>
      </c>
      <c r="E18" s="310">
        <v>1</v>
      </c>
      <c r="F18" s="310">
        <v>30</v>
      </c>
      <c r="G18" s="343">
        <v>0.03246527777777778</v>
      </c>
      <c r="H18" s="352">
        <f t="shared" si="0"/>
        <v>1.0149732620320855</v>
      </c>
      <c r="I18" s="15">
        <v>94</v>
      </c>
      <c r="J18" s="353">
        <v>0.03167824074074074</v>
      </c>
    </row>
    <row r="19" spans="1:10" s="15" customFormat="1" ht="15">
      <c r="A19" s="299">
        <v>13</v>
      </c>
      <c r="B19" s="300" t="s">
        <v>235</v>
      </c>
      <c r="C19" s="300" t="s">
        <v>236</v>
      </c>
      <c r="D19" s="301">
        <v>0.03305555555555555</v>
      </c>
      <c r="E19" s="302">
        <v>5</v>
      </c>
      <c r="F19" s="302">
        <v>26</v>
      </c>
      <c r="G19" s="343">
        <v>0.03072916666666667</v>
      </c>
      <c r="H19" s="352">
        <f t="shared" si="0"/>
        <v>1.0757062146892653</v>
      </c>
      <c r="I19" s="15">
        <v>74</v>
      </c>
      <c r="J19" s="353">
        <v>0.03072916666666667</v>
      </c>
    </row>
    <row r="20" spans="1:10" s="15" customFormat="1" ht="15">
      <c r="A20" s="299">
        <v>14</v>
      </c>
      <c r="B20" s="300" t="s">
        <v>353</v>
      </c>
      <c r="C20" s="300" t="s">
        <v>95</v>
      </c>
      <c r="D20" s="301">
        <v>0.03307870370370371</v>
      </c>
      <c r="E20" s="302">
        <v>6</v>
      </c>
      <c r="F20" s="302">
        <v>25</v>
      </c>
      <c r="G20" s="343">
        <v>0.03159722222222222</v>
      </c>
      <c r="H20" s="352">
        <f t="shared" si="0"/>
        <v>1.046886446886447</v>
      </c>
      <c r="I20" s="15">
        <v>87</v>
      </c>
      <c r="J20" s="353">
        <v>0.03111111111111111</v>
      </c>
    </row>
    <row r="21" spans="1:10" s="15" customFormat="1" ht="15">
      <c r="A21" s="299">
        <v>15</v>
      </c>
      <c r="B21" s="300" t="s">
        <v>320</v>
      </c>
      <c r="C21" s="300" t="s">
        <v>310</v>
      </c>
      <c r="D21" s="301">
        <v>0.03344907407407407</v>
      </c>
      <c r="E21" s="302">
        <v>7</v>
      </c>
      <c r="F21" s="302">
        <v>24</v>
      </c>
      <c r="G21" s="343">
        <v>0.030555555555555555</v>
      </c>
      <c r="H21" s="352">
        <f t="shared" si="0"/>
        <v>1.0946969696969695</v>
      </c>
      <c r="I21" s="15">
        <v>69</v>
      </c>
      <c r="J21" s="353">
        <v>0.030775462962962963</v>
      </c>
    </row>
    <row r="22" spans="1:10" s="15" customFormat="1" ht="15">
      <c r="A22" s="299">
        <v>16</v>
      </c>
      <c r="B22" s="300" t="s">
        <v>115</v>
      </c>
      <c r="C22" s="300" t="s">
        <v>116</v>
      </c>
      <c r="D22" s="301">
        <v>0.033622685185185186</v>
      </c>
      <c r="E22" s="302">
        <v>8</v>
      </c>
      <c r="F22" s="302">
        <v>23</v>
      </c>
      <c r="G22" s="343">
        <v>0.029861111111111113</v>
      </c>
      <c r="H22" s="352">
        <f t="shared" si="0"/>
        <v>1.125968992248062</v>
      </c>
      <c r="I22" s="15">
        <v>62</v>
      </c>
      <c r="J22" s="353">
        <v>0.030381944444444448</v>
      </c>
    </row>
    <row r="23" spans="1:10" s="15" customFormat="1" ht="15">
      <c r="A23" s="299">
        <v>17</v>
      </c>
      <c r="B23" s="300" t="s">
        <v>219</v>
      </c>
      <c r="C23" s="300" t="s">
        <v>466</v>
      </c>
      <c r="D23" s="301">
        <v>0.033749999999999995</v>
      </c>
      <c r="E23" s="302">
        <v>9</v>
      </c>
      <c r="F23" s="302">
        <v>22</v>
      </c>
      <c r="G23" s="343">
        <v>0.03072916666666667</v>
      </c>
      <c r="H23" s="352">
        <f t="shared" si="0"/>
        <v>1.0983050847457625</v>
      </c>
      <c r="I23" s="15">
        <v>66</v>
      </c>
      <c r="J23" s="353">
        <v>0.03107638888888889</v>
      </c>
    </row>
    <row r="24" spans="1:10" s="15" customFormat="1" ht="15">
      <c r="A24" s="307">
        <v>18</v>
      </c>
      <c r="B24" s="308" t="s">
        <v>314</v>
      </c>
      <c r="C24" s="308" t="s">
        <v>238</v>
      </c>
      <c r="D24" s="309">
        <v>0.03403935185185185</v>
      </c>
      <c r="E24" s="310">
        <v>2</v>
      </c>
      <c r="F24" s="310">
        <v>29</v>
      </c>
      <c r="G24" s="343">
        <v>0.03263888888888889</v>
      </c>
      <c r="H24" s="352">
        <f t="shared" si="0"/>
        <v>1.0429078014184396</v>
      </c>
      <c r="I24" s="15">
        <v>88</v>
      </c>
      <c r="J24" s="353">
        <v>0.03211805555555556</v>
      </c>
    </row>
    <row r="25" spans="1:10" s="15" customFormat="1" ht="15">
      <c r="A25" s="307">
        <v>19</v>
      </c>
      <c r="B25" s="308" t="s">
        <v>467</v>
      </c>
      <c r="C25" s="308" t="s">
        <v>135</v>
      </c>
      <c r="D25" s="309">
        <v>0.034918981481481474</v>
      </c>
      <c r="E25" s="310">
        <v>3</v>
      </c>
      <c r="F25" s="310">
        <v>28</v>
      </c>
      <c r="G25" s="343">
        <v>0.03263888888888889</v>
      </c>
      <c r="H25" s="352">
        <f t="shared" si="0"/>
        <v>1.0698581560283684</v>
      </c>
      <c r="I25" s="15">
        <v>78</v>
      </c>
      <c r="J25" s="353">
        <v>0.0325</v>
      </c>
    </row>
    <row r="26" spans="1:10" s="15" customFormat="1" ht="15">
      <c r="A26" s="299">
        <v>20</v>
      </c>
      <c r="B26" s="300" t="s">
        <v>107</v>
      </c>
      <c r="C26" s="300" t="s">
        <v>108</v>
      </c>
      <c r="D26" s="301">
        <v>0.035381944444444445</v>
      </c>
      <c r="E26" s="302">
        <v>10</v>
      </c>
      <c r="F26" s="302">
        <v>21</v>
      </c>
      <c r="G26" s="343">
        <v>0.03090277777777778</v>
      </c>
      <c r="H26" s="352">
        <f t="shared" si="0"/>
        <v>1.144943820224719</v>
      </c>
      <c r="I26" s="15">
        <v>59</v>
      </c>
      <c r="J26" s="353">
        <v>0.0315625</v>
      </c>
    </row>
    <row r="27" spans="1:10" s="15" customFormat="1" ht="15">
      <c r="A27" s="299">
        <v>21</v>
      </c>
      <c r="B27" s="300" t="s">
        <v>314</v>
      </c>
      <c r="C27" s="300" t="s">
        <v>101</v>
      </c>
      <c r="D27" s="301">
        <v>0.035520833333333335</v>
      </c>
      <c r="E27" s="302">
        <v>11</v>
      </c>
      <c r="F27" s="302">
        <v>20</v>
      </c>
      <c r="G27" s="343">
        <v>0.030034722222222223</v>
      </c>
      <c r="H27" s="352">
        <f t="shared" si="0"/>
        <v>1.1826589595375723</v>
      </c>
      <c r="I27" s="15">
        <v>55</v>
      </c>
      <c r="J27" s="353">
        <v>0.030868055555555555</v>
      </c>
    </row>
    <row r="28" spans="1:10" s="15" customFormat="1" ht="15">
      <c r="A28" s="307">
        <v>22</v>
      </c>
      <c r="B28" s="308" t="s">
        <v>413</v>
      </c>
      <c r="C28" s="308" t="s">
        <v>137</v>
      </c>
      <c r="D28" s="309">
        <v>0.03561342592592593</v>
      </c>
      <c r="E28" s="310">
        <v>4</v>
      </c>
      <c r="F28" s="310">
        <v>27</v>
      </c>
      <c r="G28" s="343">
        <v>0.034722222222222224</v>
      </c>
      <c r="H28" s="352">
        <f t="shared" si="0"/>
        <v>1.0256666666666667</v>
      </c>
      <c r="I28" s="15">
        <v>93</v>
      </c>
      <c r="J28" s="353">
        <v>0.03398148148148148</v>
      </c>
    </row>
    <row r="29" spans="1:10" s="15" customFormat="1" ht="15">
      <c r="A29" s="307">
        <v>23</v>
      </c>
      <c r="B29" s="308" t="s">
        <v>276</v>
      </c>
      <c r="C29" s="308" t="s">
        <v>38</v>
      </c>
      <c r="D29" s="309">
        <v>0.035717592592592586</v>
      </c>
      <c r="E29" s="310">
        <v>5</v>
      </c>
      <c r="F29" s="310">
        <v>26</v>
      </c>
      <c r="G29" s="343">
        <v>0.033680555555555554</v>
      </c>
      <c r="H29" s="352">
        <f t="shared" si="0"/>
        <v>1.0604810996563572</v>
      </c>
      <c r="I29" s="15">
        <v>82</v>
      </c>
      <c r="J29" s="353">
        <v>0.03341435185185185</v>
      </c>
    </row>
    <row r="30" spans="1:10" s="15" customFormat="1" ht="15">
      <c r="A30" s="307">
        <v>24</v>
      </c>
      <c r="B30" s="308" t="s">
        <v>224</v>
      </c>
      <c r="C30" s="308" t="s">
        <v>38</v>
      </c>
      <c r="D30" s="309">
        <v>0.035798611111111114</v>
      </c>
      <c r="E30" s="310">
        <v>6</v>
      </c>
      <c r="F30" s="310">
        <v>25</v>
      </c>
      <c r="G30" s="343">
        <v>0.03263888888888889</v>
      </c>
      <c r="H30" s="352">
        <f t="shared" si="0"/>
        <v>1.0968085106382979</v>
      </c>
      <c r="I30" s="15">
        <v>67</v>
      </c>
      <c r="J30" s="353">
        <v>0.03295138888888889</v>
      </c>
    </row>
    <row r="31" spans="1:10" s="15" customFormat="1" ht="15">
      <c r="A31" s="303">
        <v>25</v>
      </c>
      <c r="B31" s="304" t="s">
        <v>352</v>
      </c>
      <c r="C31" s="304" t="s">
        <v>90</v>
      </c>
      <c r="D31" s="305">
        <v>0.03678240740740741</v>
      </c>
      <c r="E31" s="306">
        <v>3</v>
      </c>
      <c r="F31" s="306">
        <v>28</v>
      </c>
      <c r="G31" s="343">
        <v>0.029861111111111113</v>
      </c>
      <c r="H31" s="352">
        <f t="shared" si="0"/>
        <v>1.2317829457364342</v>
      </c>
      <c r="I31" s="15">
        <v>52</v>
      </c>
      <c r="J31" s="353">
        <v>0.03082175925925926</v>
      </c>
    </row>
    <row r="32" spans="1:10" s="15" customFormat="1" ht="15">
      <c r="A32" s="303">
        <v>26</v>
      </c>
      <c r="B32" s="304" t="s">
        <v>31</v>
      </c>
      <c r="C32" s="304" t="s">
        <v>75</v>
      </c>
      <c r="D32" s="305">
        <v>0.037615740740740734</v>
      </c>
      <c r="E32" s="306">
        <v>4</v>
      </c>
      <c r="F32" s="306">
        <v>27</v>
      </c>
      <c r="G32" s="343">
        <v>0.030555555555555555</v>
      </c>
      <c r="H32" s="352">
        <f t="shared" si="0"/>
        <v>1.231060606060606</v>
      </c>
      <c r="I32" s="15">
        <v>53</v>
      </c>
      <c r="J32" s="353">
        <v>0.031469907407407405</v>
      </c>
    </row>
    <row r="33" spans="1:10" s="15" customFormat="1" ht="15">
      <c r="A33" s="256">
        <v>27</v>
      </c>
      <c r="B33" s="257" t="s">
        <v>367</v>
      </c>
      <c r="C33" s="257" t="s">
        <v>167</v>
      </c>
      <c r="D33" s="311">
        <v>0.038599537037037036</v>
      </c>
      <c r="E33" s="312">
        <v>1</v>
      </c>
      <c r="F33" s="312">
        <v>30</v>
      </c>
      <c r="G33" s="343">
        <v>0.035590277777777776</v>
      </c>
      <c r="H33" s="352">
        <f t="shared" si="0"/>
        <v>1.0845528455284552</v>
      </c>
      <c r="I33" s="15">
        <v>71</v>
      </c>
      <c r="J33" s="353">
        <v>0.035729166666666666</v>
      </c>
    </row>
    <row r="34" spans="1:10" s="15" customFormat="1" ht="15">
      <c r="A34" s="256">
        <v>28</v>
      </c>
      <c r="B34" s="257" t="s">
        <v>139</v>
      </c>
      <c r="C34" s="257" t="s">
        <v>140</v>
      </c>
      <c r="D34" s="311">
        <v>0.03893518518518519</v>
      </c>
      <c r="E34" s="312">
        <v>2</v>
      </c>
      <c r="F34" s="312">
        <v>29</v>
      </c>
      <c r="G34" s="343">
        <v>0.03993055555555556</v>
      </c>
      <c r="H34" s="352">
        <f t="shared" si="0"/>
        <v>0.975072463768116</v>
      </c>
      <c r="I34" s="15">
        <v>99</v>
      </c>
      <c r="J34" s="353">
        <v>0.03892361111111112</v>
      </c>
    </row>
    <row r="35" spans="1:10" s="15" customFormat="1" ht="15">
      <c r="A35" s="256">
        <v>29</v>
      </c>
      <c r="B35" s="257" t="s">
        <v>187</v>
      </c>
      <c r="C35" s="257" t="s">
        <v>374</v>
      </c>
      <c r="D35" s="311">
        <v>0.039050925925925926</v>
      </c>
      <c r="E35" s="312">
        <v>3</v>
      </c>
      <c r="F35" s="312">
        <v>28</v>
      </c>
      <c r="G35" s="343">
        <v>0.03715277777777778</v>
      </c>
      <c r="H35" s="352">
        <f t="shared" si="0"/>
        <v>1.0510903426791278</v>
      </c>
      <c r="I35" s="15">
        <v>85</v>
      </c>
      <c r="J35" s="353">
        <v>0.03675925925925926</v>
      </c>
    </row>
    <row r="36" spans="1:10" s="15" customFormat="1" ht="15">
      <c r="A36" s="256">
        <v>30</v>
      </c>
      <c r="B36" s="257" t="s">
        <v>63</v>
      </c>
      <c r="C36" s="257" t="s">
        <v>178</v>
      </c>
      <c r="D36" s="311">
        <v>0.03908564814814815</v>
      </c>
      <c r="E36" s="312">
        <v>4</v>
      </c>
      <c r="F36" s="312">
        <v>27</v>
      </c>
      <c r="G36" s="343">
        <v>0.03715277777777778</v>
      </c>
      <c r="H36" s="352">
        <f t="shared" si="0"/>
        <v>1.05202492211838</v>
      </c>
      <c r="I36" s="15">
        <v>84</v>
      </c>
      <c r="J36" s="353">
        <v>0.03680555555555556</v>
      </c>
    </row>
    <row r="37" spans="1:10" s="15" customFormat="1" ht="15">
      <c r="A37" s="256">
        <v>31</v>
      </c>
      <c r="B37" s="257" t="s">
        <v>366</v>
      </c>
      <c r="C37" s="257" t="s">
        <v>365</v>
      </c>
      <c r="D37" s="311">
        <v>0.03937500000000001</v>
      </c>
      <c r="E37" s="312">
        <v>5</v>
      </c>
      <c r="F37" s="312">
        <v>26</v>
      </c>
      <c r="G37" s="343">
        <v>0.03576388888888889</v>
      </c>
      <c r="H37" s="352">
        <f t="shared" si="0"/>
        <v>1.1009708737864081</v>
      </c>
      <c r="I37" s="15">
        <v>64</v>
      </c>
      <c r="J37" s="353">
        <v>0.0362037037037037</v>
      </c>
    </row>
    <row r="38" spans="1:10" s="15" customFormat="1" ht="15">
      <c r="A38" s="256">
        <v>32</v>
      </c>
      <c r="B38" s="257" t="s">
        <v>468</v>
      </c>
      <c r="C38" s="257" t="s">
        <v>359</v>
      </c>
      <c r="D38" s="311">
        <v>0.03965277777777778</v>
      </c>
      <c r="E38" s="312">
        <v>6</v>
      </c>
      <c r="F38" s="312">
        <v>25</v>
      </c>
      <c r="G38" s="343">
        <v>0.035416666666666666</v>
      </c>
      <c r="H38" s="352">
        <f t="shared" si="0"/>
        <v>1.119607843137255</v>
      </c>
      <c r="I38" s="15">
        <v>63</v>
      </c>
      <c r="J38" s="353">
        <v>0.035902777777777777</v>
      </c>
    </row>
    <row r="39" spans="1:10" s="15" customFormat="1" ht="15">
      <c r="A39" s="256">
        <v>33</v>
      </c>
      <c r="B39" s="257" t="s">
        <v>176</v>
      </c>
      <c r="C39" s="257" t="s">
        <v>177</v>
      </c>
      <c r="D39" s="311">
        <v>0.04041666666666667</v>
      </c>
      <c r="E39" s="312">
        <v>7</v>
      </c>
      <c r="F39" s="312">
        <v>24</v>
      </c>
      <c r="G39" s="343">
        <v>0.0375</v>
      </c>
      <c r="H39" s="352">
        <f t="shared" si="0"/>
        <v>1.077777777777778</v>
      </c>
      <c r="I39" s="15">
        <v>73</v>
      </c>
      <c r="J39" s="353">
        <v>0.03754629629629629</v>
      </c>
    </row>
    <row r="40" spans="1:10" s="15" customFormat="1" ht="15">
      <c r="A40" s="313">
        <v>34</v>
      </c>
      <c r="B40" s="314" t="s">
        <v>332</v>
      </c>
      <c r="C40" s="314" t="s">
        <v>333</v>
      </c>
      <c r="D40" s="315">
        <v>0.04052083333333333</v>
      </c>
      <c r="E40" s="316">
        <v>1</v>
      </c>
      <c r="F40" s="316">
        <v>30</v>
      </c>
      <c r="G40" s="343">
        <v>0.040625</v>
      </c>
      <c r="H40" s="352">
        <f t="shared" si="0"/>
        <v>0.9974358974358973</v>
      </c>
      <c r="I40" s="15">
        <v>98</v>
      </c>
      <c r="J40" s="353">
        <v>0.03966435185185185</v>
      </c>
    </row>
    <row r="41" spans="1:10" s="15" customFormat="1" ht="15">
      <c r="A41" s="307">
        <v>35</v>
      </c>
      <c r="B41" s="308" t="s">
        <v>218</v>
      </c>
      <c r="C41" s="308" t="s">
        <v>393</v>
      </c>
      <c r="D41" s="309">
        <v>0.040532407407407406</v>
      </c>
      <c r="E41" s="310">
        <v>7</v>
      </c>
      <c r="F41" s="310">
        <v>24</v>
      </c>
      <c r="G41" s="343">
        <v>0.034027777777777775</v>
      </c>
      <c r="H41" s="352">
        <f t="shared" si="0"/>
        <v>1.1911564625850342</v>
      </c>
      <c r="I41" s="15">
        <v>54</v>
      </c>
      <c r="J41" s="353">
        <v>0.03489583333333333</v>
      </c>
    </row>
    <row r="42" spans="1:10" s="15" customFormat="1" ht="15">
      <c r="A42" s="256">
        <v>36</v>
      </c>
      <c r="B42" s="257" t="s">
        <v>321</v>
      </c>
      <c r="C42" s="257" t="s">
        <v>190</v>
      </c>
      <c r="D42" s="311">
        <v>0.040671296296296296</v>
      </c>
      <c r="E42" s="312">
        <v>8</v>
      </c>
      <c r="F42" s="312">
        <v>23</v>
      </c>
      <c r="G42" s="343">
        <v>0.03715277777777778</v>
      </c>
      <c r="H42" s="352">
        <f t="shared" si="0"/>
        <v>1.0947040498442366</v>
      </c>
      <c r="I42" s="15">
        <v>68</v>
      </c>
      <c r="J42" s="353">
        <v>0.037418981481481484</v>
      </c>
    </row>
    <row r="43" spans="1:10" s="15" customFormat="1" ht="15">
      <c r="A43" s="313">
        <v>37</v>
      </c>
      <c r="B43" s="314" t="s">
        <v>469</v>
      </c>
      <c r="C43" s="314" t="s">
        <v>335</v>
      </c>
      <c r="D43" s="315">
        <v>0.040983796296296296</v>
      </c>
      <c r="E43" s="316">
        <v>2</v>
      </c>
      <c r="F43" s="316">
        <v>29</v>
      </c>
      <c r="G43" s="343">
        <v>0.04375</v>
      </c>
      <c r="H43" s="352">
        <f t="shared" si="0"/>
        <v>0.9367724867724868</v>
      </c>
      <c r="I43" s="15">
        <v>100</v>
      </c>
      <c r="J43" s="353">
        <v>0.04270833333333333</v>
      </c>
    </row>
    <row r="44" spans="1:10" s="15" customFormat="1" ht="15">
      <c r="A44" s="313">
        <v>38</v>
      </c>
      <c r="B44" s="314" t="s">
        <v>229</v>
      </c>
      <c r="C44" s="314" t="s">
        <v>195</v>
      </c>
      <c r="D44" s="315">
        <v>0.04150462962962963</v>
      </c>
      <c r="E44" s="316">
        <v>3</v>
      </c>
      <c r="F44" s="316">
        <v>28</v>
      </c>
      <c r="G44" s="343">
        <v>0.03993055555555556</v>
      </c>
      <c r="H44" s="352">
        <f t="shared" si="0"/>
        <v>1.0394202898550724</v>
      </c>
      <c r="I44" s="15">
        <v>90</v>
      </c>
      <c r="J44" s="353">
        <v>0.03931712962962963</v>
      </c>
    </row>
    <row r="45" spans="1:10" s="15" customFormat="1" ht="15">
      <c r="A45" s="313">
        <v>39</v>
      </c>
      <c r="B45" s="314" t="s">
        <v>379</v>
      </c>
      <c r="C45" s="314" t="s">
        <v>341</v>
      </c>
      <c r="D45" s="315">
        <v>0.0428125</v>
      </c>
      <c r="E45" s="316">
        <v>4</v>
      </c>
      <c r="F45" s="316">
        <v>27</v>
      </c>
      <c r="G45" s="343">
        <v>0.03888888888888889</v>
      </c>
      <c r="H45" s="352">
        <f t="shared" si="0"/>
        <v>1.1008928571428571</v>
      </c>
      <c r="I45" s="15">
        <v>65</v>
      </c>
      <c r="J45" s="353">
        <v>0.039282407407407405</v>
      </c>
    </row>
    <row r="46" spans="1:10" s="15" customFormat="1" ht="15">
      <c r="A46" s="313">
        <v>40</v>
      </c>
      <c r="B46" s="314" t="s">
        <v>194</v>
      </c>
      <c r="C46" s="314" t="s">
        <v>145</v>
      </c>
      <c r="D46" s="315">
        <v>0.043738425925925924</v>
      </c>
      <c r="E46" s="316">
        <v>5</v>
      </c>
      <c r="F46" s="316">
        <v>26</v>
      </c>
      <c r="G46" s="343">
        <v>0.03854166666666667</v>
      </c>
      <c r="H46" s="352">
        <f t="shared" si="0"/>
        <v>1.1348348348348347</v>
      </c>
      <c r="I46" s="15">
        <v>60</v>
      </c>
      <c r="J46" s="353">
        <v>0.039155092592592596</v>
      </c>
    </row>
    <row r="47" spans="1:9" s="268" customFormat="1" ht="15">
      <c r="A47" s="230">
        <v>41</v>
      </c>
      <c r="B47" s="268" t="s">
        <v>52</v>
      </c>
      <c r="C47" s="268" t="s">
        <v>470</v>
      </c>
      <c r="D47" s="343">
        <v>0.04386574074074074</v>
      </c>
      <c r="E47" s="83"/>
      <c r="G47" s="343"/>
      <c r="H47" s="352"/>
      <c r="I47" s="15"/>
    </row>
    <row r="48" spans="1:9" s="268" customFormat="1" ht="15">
      <c r="A48" s="230">
        <v>42</v>
      </c>
      <c r="B48" s="268" t="s">
        <v>471</v>
      </c>
      <c r="C48" s="268" t="s">
        <v>221</v>
      </c>
      <c r="D48" s="343">
        <v>0.044097222222222225</v>
      </c>
      <c r="E48" s="83"/>
      <c r="G48" s="343"/>
      <c r="H48" s="352"/>
      <c r="I48" s="15"/>
    </row>
    <row r="49" spans="1:10" s="15" customFormat="1" ht="15">
      <c r="A49" s="313">
        <v>43</v>
      </c>
      <c r="B49" s="314" t="s">
        <v>31</v>
      </c>
      <c r="C49" s="314" t="s">
        <v>325</v>
      </c>
      <c r="D49" s="315">
        <v>0.044375000000000005</v>
      </c>
      <c r="E49" s="316">
        <v>6</v>
      </c>
      <c r="F49" s="316">
        <v>25</v>
      </c>
      <c r="G49" s="343">
        <v>0.03871527777777778</v>
      </c>
      <c r="H49" s="352">
        <f aca="true" t="shared" si="1" ref="H49:H56">+D49/G49</f>
        <v>1.146188340807175</v>
      </c>
      <c r="I49" s="15">
        <v>58</v>
      </c>
      <c r="J49" s="353">
        <v>0.03940972222222222</v>
      </c>
    </row>
    <row r="50" spans="1:10" s="15" customFormat="1" ht="15">
      <c r="A50" s="256">
        <v>44</v>
      </c>
      <c r="B50" s="257" t="s">
        <v>183</v>
      </c>
      <c r="C50" s="257" t="s">
        <v>184</v>
      </c>
      <c r="D50" s="311">
        <v>0.04452546296296296</v>
      </c>
      <c r="E50" s="312">
        <v>9</v>
      </c>
      <c r="F50" s="312">
        <v>22</v>
      </c>
      <c r="G50" s="343">
        <v>0.03784722222222222</v>
      </c>
      <c r="H50" s="352">
        <f t="shared" si="1"/>
        <v>1.1764525993883792</v>
      </c>
      <c r="I50" s="15">
        <v>56</v>
      </c>
      <c r="J50" s="353">
        <v>0.03863425925925926</v>
      </c>
    </row>
    <row r="51" spans="1:10" s="15" customFormat="1" ht="15">
      <c r="A51" s="317">
        <v>45</v>
      </c>
      <c r="B51" s="318" t="s">
        <v>224</v>
      </c>
      <c r="C51" s="318" t="s">
        <v>263</v>
      </c>
      <c r="D51" s="319">
        <v>0.04479166666666667</v>
      </c>
      <c r="E51" s="320">
        <v>1</v>
      </c>
      <c r="F51" s="320">
        <v>30</v>
      </c>
      <c r="G51" s="343">
        <v>0.044270833333333336</v>
      </c>
      <c r="H51" s="352">
        <f t="shared" si="1"/>
        <v>1.011764705882353</v>
      </c>
      <c r="I51" s="15">
        <v>95</v>
      </c>
      <c r="J51" s="353">
        <v>0.043437500000000004</v>
      </c>
    </row>
    <row r="52" spans="1:10" s="15" customFormat="1" ht="15">
      <c r="A52" s="317">
        <v>46</v>
      </c>
      <c r="B52" s="318" t="s">
        <v>383</v>
      </c>
      <c r="C52" s="318" t="s">
        <v>382</v>
      </c>
      <c r="D52" s="319">
        <v>0.04482638888888889</v>
      </c>
      <c r="E52" s="320">
        <v>2</v>
      </c>
      <c r="F52" s="320">
        <v>29</v>
      </c>
      <c r="G52" s="343">
        <v>0.042361111111111106</v>
      </c>
      <c r="H52" s="352">
        <f t="shared" si="1"/>
        <v>1.0581967213114756</v>
      </c>
      <c r="I52" s="15">
        <v>83</v>
      </c>
      <c r="J52" s="353">
        <v>0.042048611111111106</v>
      </c>
    </row>
    <row r="53" spans="1:10" s="15" customFormat="1" ht="15">
      <c r="A53" s="317">
        <v>47</v>
      </c>
      <c r="B53" s="318" t="s">
        <v>189</v>
      </c>
      <c r="C53" s="318" t="s">
        <v>135</v>
      </c>
      <c r="D53" s="319">
        <v>0.04527777777777778</v>
      </c>
      <c r="E53" s="320">
        <v>3</v>
      </c>
      <c r="F53" s="320">
        <v>28</v>
      </c>
      <c r="G53" s="343">
        <v>0.04479166666666667</v>
      </c>
      <c r="H53" s="352">
        <f t="shared" si="1"/>
        <v>1.0108527131782945</v>
      </c>
      <c r="I53" s="15">
        <v>96</v>
      </c>
      <c r="J53" s="353">
        <v>0.043923611111111115</v>
      </c>
    </row>
    <row r="54" spans="1:10" s="15" customFormat="1" ht="15">
      <c r="A54" s="256">
        <v>48</v>
      </c>
      <c r="B54" s="257" t="s">
        <v>231</v>
      </c>
      <c r="C54" s="257" t="s">
        <v>295</v>
      </c>
      <c r="D54" s="311">
        <v>0.045300925925925925</v>
      </c>
      <c r="E54" s="312">
        <v>10</v>
      </c>
      <c r="F54" s="312">
        <v>21</v>
      </c>
      <c r="G54" s="343">
        <v>0.036458333333333336</v>
      </c>
      <c r="H54" s="352">
        <f t="shared" si="1"/>
        <v>1.2425396825396824</v>
      </c>
      <c r="I54" s="15">
        <v>51</v>
      </c>
      <c r="J54" s="353">
        <v>0.03746527777777778</v>
      </c>
    </row>
    <row r="55" spans="1:10" s="15" customFormat="1" ht="15">
      <c r="A55" s="317">
        <v>49</v>
      </c>
      <c r="B55" s="318" t="s">
        <v>265</v>
      </c>
      <c r="C55" s="318" t="s">
        <v>264</v>
      </c>
      <c r="D55" s="319">
        <v>0.04532407407407408</v>
      </c>
      <c r="E55" s="320">
        <v>4</v>
      </c>
      <c r="F55" s="320">
        <v>27</v>
      </c>
      <c r="G55" s="343">
        <v>0.042361111111111106</v>
      </c>
      <c r="H55" s="352">
        <f t="shared" si="1"/>
        <v>1.069945355191257</v>
      </c>
      <c r="I55" s="15">
        <v>77</v>
      </c>
      <c r="J55" s="353">
        <v>0.04226851851851851</v>
      </c>
    </row>
    <row r="56" spans="1:10" s="15" customFormat="1" ht="15">
      <c r="A56" s="256">
        <v>50</v>
      </c>
      <c r="B56" s="257" t="s">
        <v>474</v>
      </c>
      <c r="C56" s="257" t="s">
        <v>145</v>
      </c>
      <c r="D56" s="311">
        <v>0.04535879629629629</v>
      </c>
      <c r="E56" s="312">
        <v>11</v>
      </c>
      <c r="F56" s="312">
        <v>20</v>
      </c>
      <c r="G56" s="343">
        <v>0.035069444444444445</v>
      </c>
      <c r="H56" s="352">
        <f t="shared" si="1"/>
        <v>1.2933993399339934</v>
      </c>
      <c r="I56" s="15">
        <v>50</v>
      </c>
      <c r="J56" s="353">
        <v>0.036111111111111115</v>
      </c>
    </row>
    <row r="57" spans="1:9" s="268" customFormat="1" ht="15">
      <c r="A57" s="230">
        <v>51</v>
      </c>
      <c r="B57" s="268" t="s">
        <v>220</v>
      </c>
      <c r="C57" s="268" t="s">
        <v>472</v>
      </c>
      <c r="D57" s="343">
        <v>0.045625000000000006</v>
      </c>
      <c r="E57" s="83"/>
      <c r="G57" s="343"/>
      <c r="H57" s="352"/>
      <c r="I57" s="15"/>
    </row>
    <row r="58" spans="1:10" s="15" customFormat="1" ht="15">
      <c r="A58" s="317">
        <v>52</v>
      </c>
      <c r="B58" s="318" t="s">
        <v>234</v>
      </c>
      <c r="C58" s="318" t="s">
        <v>230</v>
      </c>
      <c r="D58" s="319">
        <v>0.045752314814814815</v>
      </c>
      <c r="E58" s="320">
        <v>5</v>
      </c>
      <c r="F58" s="320">
        <v>26</v>
      </c>
      <c r="G58" s="343">
        <v>0.04253472222222222</v>
      </c>
      <c r="H58" s="352">
        <f>+D58/G58</f>
        <v>1.0756462585034015</v>
      </c>
      <c r="I58" s="15">
        <v>75</v>
      </c>
      <c r="J58" s="353">
        <v>0.04253472222222222</v>
      </c>
    </row>
    <row r="59" spans="1:10" s="15" customFormat="1" ht="15">
      <c r="A59" s="317">
        <v>53</v>
      </c>
      <c r="B59" s="318" t="s">
        <v>218</v>
      </c>
      <c r="C59" s="318" t="s">
        <v>292</v>
      </c>
      <c r="D59" s="319">
        <v>0.04631944444444445</v>
      </c>
      <c r="E59" s="320">
        <v>6</v>
      </c>
      <c r="F59" s="320">
        <v>25</v>
      </c>
      <c r="G59" s="343">
        <v>0.04322916666666667</v>
      </c>
      <c r="H59" s="352">
        <f>+D59/G59</f>
        <v>1.0714859437751003</v>
      </c>
      <c r="I59" s="15">
        <v>76</v>
      </c>
      <c r="J59" s="353">
        <v>0.04318287037037038</v>
      </c>
    </row>
    <row r="60" spans="1:9" s="268" customFormat="1" ht="15">
      <c r="A60" s="230">
        <v>54</v>
      </c>
      <c r="B60" s="268" t="s">
        <v>414</v>
      </c>
      <c r="C60" s="268" t="s">
        <v>445</v>
      </c>
      <c r="D60" s="343">
        <v>0.04724537037037037</v>
      </c>
      <c r="E60" s="83"/>
      <c r="G60" s="343"/>
      <c r="H60" s="352"/>
      <c r="I60" s="15"/>
    </row>
    <row r="61" spans="1:10" s="15" customFormat="1" ht="15">
      <c r="A61" s="317">
        <v>55</v>
      </c>
      <c r="B61" s="318" t="s">
        <v>249</v>
      </c>
      <c r="C61" s="318" t="s">
        <v>210</v>
      </c>
      <c r="D61" s="319">
        <v>0.04777777777777778</v>
      </c>
      <c r="E61" s="320">
        <v>7</v>
      </c>
      <c r="F61" s="320">
        <v>24</v>
      </c>
      <c r="G61" s="343">
        <v>0.041666666666666664</v>
      </c>
      <c r="H61" s="352">
        <f>+D61/G61</f>
        <v>1.1466666666666667</v>
      </c>
      <c r="I61" s="15">
        <v>57</v>
      </c>
      <c r="J61" s="353">
        <v>0.04240740740740741</v>
      </c>
    </row>
    <row r="62" spans="1:9" s="268" customFormat="1" ht="15">
      <c r="A62" s="230">
        <v>56</v>
      </c>
      <c r="B62" s="268" t="s">
        <v>473</v>
      </c>
      <c r="C62" s="268" t="s">
        <v>343</v>
      </c>
      <c r="D62" s="343">
        <v>0.051006944444444445</v>
      </c>
      <c r="E62" s="83"/>
      <c r="G62" s="343"/>
      <c r="H62" s="352"/>
      <c r="I62" s="15"/>
    </row>
    <row r="63" spans="1:10" s="15" customFormat="1" ht="15">
      <c r="A63" s="317">
        <v>57</v>
      </c>
      <c r="B63" s="318" t="s">
        <v>245</v>
      </c>
      <c r="C63" s="318" t="s">
        <v>244</v>
      </c>
      <c r="D63" s="319">
        <v>0.05234953703703704</v>
      </c>
      <c r="E63" s="320">
        <v>8</v>
      </c>
      <c r="F63" s="320">
        <v>23</v>
      </c>
      <c r="G63" s="343">
        <v>0.04895833333333333</v>
      </c>
      <c r="H63" s="352">
        <f>+D63/G63</f>
        <v>1.0692671394799056</v>
      </c>
      <c r="I63" s="15">
        <v>79</v>
      </c>
      <c r="J63" s="353">
        <v>0.04878472222222222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41">
      <selection activeCell="C49" sqref="C49"/>
    </sheetView>
  </sheetViews>
  <sheetFormatPr defaultColWidth="9.140625" defaultRowHeight="15"/>
  <cols>
    <col min="1" max="1" width="9.140625" style="230" customWidth="1"/>
    <col min="2" max="2" width="10.7109375" style="0" bestFit="1" customWidth="1"/>
    <col min="3" max="3" width="18.7109375" style="0" bestFit="1" customWidth="1"/>
  </cols>
  <sheetData>
    <row r="1" spans="1:6" s="251" customFormat="1" ht="18" customHeight="1">
      <c r="A1" s="246" t="s">
        <v>452</v>
      </c>
      <c r="B1" s="248"/>
      <c r="C1" s="247"/>
      <c r="D1" s="250"/>
      <c r="E1" s="250"/>
      <c r="F1" s="250"/>
    </row>
    <row r="2" spans="1:7" s="259" customFormat="1" ht="15">
      <c r="A2" s="252"/>
      <c r="B2" s="249"/>
      <c r="C2" s="249"/>
      <c r="D2" s="253"/>
      <c r="E2" s="253"/>
      <c r="F2" s="253"/>
      <c r="G2" s="249"/>
    </row>
    <row r="3" spans="1:7" s="259" customFormat="1" ht="15">
      <c r="A3" s="82" t="s">
        <v>227</v>
      </c>
      <c r="B3" s="249"/>
      <c r="C3" s="249"/>
      <c r="D3" s="255"/>
      <c r="E3" s="255"/>
      <c r="F3" s="255"/>
      <c r="G3" s="123"/>
    </row>
    <row r="4" spans="1:7" s="259" customFormat="1" ht="15">
      <c r="A4" s="254" t="s">
        <v>20</v>
      </c>
      <c r="B4" s="254" t="s">
        <v>17</v>
      </c>
      <c r="C4" s="254" t="s">
        <v>18</v>
      </c>
      <c r="D4" s="255" t="s">
        <v>349</v>
      </c>
      <c r="E4" s="255" t="s">
        <v>20</v>
      </c>
      <c r="F4" s="255" t="s">
        <v>216</v>
      </c>
      <c r="G4" s="123"/>
    </row>
    <row r="5" spans="1:11" s="15" customFormat="1" ht="15">
      <c r="A5" s="295">
        <v>1</v>
      </c>
      <c r="B5" s="296" t="s">
        <v>31</v>
      </c>
      <c r="C5" s="296" t="s">
        <v>310</v>
      </c>
      <c r="D5" s="297">
        <v>0.04383101851851851</v>
      </c>
      <c r="E5" s="298">
        <v>1</v>
      </c>
      <c r="F5" s="298">
        <v>30</v>
      </c>
      <c r="G5" s="79"/>
      <c r="I5" s="83"/>
      <c r="J5" s="85"/>
      <c r="K5" s="86"/>
    </row>
    <row r="6" spans="1:11" s="15" customFormat="1" ht="15">
      <c r="A6" s="295">
        <v>2</v>
      </c>
      <c r="B6" s="296" t="s">
        <v>52</v>
      </c>
      <c r="C6" s="296" t="s">
        <v>53</v>
      </c>
      <c r="D6" s="297">
        <v>0.04538194444444444</v>
      </c>
      <c r="E6" s="298">
        <v>2</v>
      </c>
      <c r="F6" s="298">
        <v>29</v>
      </c>
      <c r="G6" s="79"/>
      <c r="I6" s="83"/>
      <c r="J6" s="85"/>
      <c r="K6" s="86"/>
    </row>
    <row r="7" spans="1:11" s="15" customFormat="1" ht="15">
      <c r="A7" s="303">
        <v>3</v>
      </c>
      <c r="B7" s="304" t="s">
        <v>408</v>
      </c>
      <c r="C7" s="304" t="s">
        <v>441</v>
      </c>
      <c r="D7" s="305">
        <v>0.04810185185185185</v>
      </c>
      <c r="E7" s="306">
        <v>1</v>
      </c>
      <c r="F7" s="306">
        <v>30</v>
      </c>
      <c r="G7" s="79"/>
      <c r="I7" s="83"/>
      <c r="J7" s="85"/>
      <c r="K7" s="86"/>
    </row>
    <row r="8" spans="1:11" s="15" customFormat="1" ht="15">
      <c r="A8" s="299">
        <v>4</v>
      </c>
      <c r="B8" s="300" t="s">
        <v>63</v>
      </c>
      <c r="C8" s="300" t="s">
        <v>110</v>
      </c>
      <c r="D8" s="301">
        <v>0.05179398148148148</v>
      </c>
      <c r="E8" s="302">
        <v>1</v>
      </c>
      <c r="F8" s="302">
        <v>30</v>
      </c>
      <c r="G8" s="79"/>
      <c r="I8" s="83"/>
      <c r="J8" s="85"/>
      <c r="K8" s="86"/>
    </row>
    <row r="9" spans="1:11" s="15" customFormat="1" ht="15">
      <c r="A9" s="299">
        <v>5</v>
      </c>
      <c r="B9" s="300" t="s">
        <v>321</v>
      </c>
      <c r="C9" s="300" t="s">
        <v>132</v>
      </c>
      <c r="D9" s="301">
        <v>0.05196759259259259</v>
      </c>
      <c r="E9" s="302">
        <v>2</v>
      </c>
      <c r="F9" s="302">
        <v>29</v>
      </c>
      <c r="G9" s="79"/>
      <c r="I9" s="83"/>
      <c r="J9" s="85"/>
      <c r="K9" s="86"/>
    </row>
    <row r="10" spans="1:11" s="15" customFormat="1" ht="15">
      <c r="A10" s="299">
        <v>6</v>
      </c>
      <c r="B10" s="300" t="s">
        <v>96</v>
      </c>
      <c r="C10" s="300" t="s">
        <v>97</v>
      </c>
      <c r="D10" s="301">
        <v>0.05221064814814815</v>
      </c>
      <c r="E10" s="302">
        <v>3</v>
      </c>
      <c r="F10" s="302">
        <v>28</v>
      </c>
      <c r="G10" s="79"/>
      <c r="I10" s="83"/>
      <c r="J10" s="85"/>
      <c r="K10" s="86"/>
    </row>
    <row r="11" spans="1:11" s="15" customFormat="1" ht="15">
      <c r="A11" s="299">
        <v>7</v>
      </c>
      <c r="B11" s="300" t="s">
        <v>52</v>
      </c>
      <c r="C11" s="300" t="s">
        <v>97</v>
      </c>
      <c r="D11" s="301">
        <v>0.052222222222222225</v>
      </c>
      <c r="E11" s="302">
        <v>4</v>
      </c>
      <c r="F11" s="302">
        <v>27</v>
      </c>
      <c r="G11" s="79"/>
      <c r="I11" s="83"/>
      <c r="J11" s="85"/>
      <c r="K11" s="86"/>
    </row>
    <row r="12" spans="1:11" s="15" customFormat="1" ht="15">
      <c r="A12" s="299">
        <v>8</v>
      </c>
      <c r="B12" s="300" t="s">
        <v>63</v>
      </c>
      <c r="C12" s="300" t="s">
        <v>91</v>
      </c>
      <c r="D12" s="301">
        <v>0.052418981481481476</v>
      </c>
      <c r="E12" s="302">
        <v>5</v>
      </c>
      <c r="F12" s="302">
        <v>26</v>
      </c>
      <c r="G12" s="79"/>
      <c r="I12" s="83"/>
      <c r="J12" s="85"/>
      <c r="K12" s="86"/>
    </row>
    <row r="13" spans="1:11" s="15" customFormat="1" ht="15">
      <c r="A13" s="299">
        <v>9</v>
      </c>
      <c r="B13" s="300" t="s">
        <v>320</v>
      </c>
      <c r="C13" s="300" t="s">
        <v>310</v>
      </c>
      <c r="D13" s="301">
        <v>0.05328703703703704</v>
      </c>
      <c r="E13" s="302">
        <v>6</v>
      </c>
      <c r="F13" s="302">
        <v>25</v>
      </c>
      <c r="G13" s="79"/>
      <c r="I13" s="83"/>
      <c r="J13" s="85"/>
      <c r="K13" s="86"/>
    </row>
    <row r="14" spans="1:11" s="15" customFormat="1" ht="15">
      <c r="A14" s="303">
        <v>10</v>
      </c>
      <c r="B14" s="304" t="s">
        <v>229</v>
      </c>
      <c r="C14" s="304" t="s">
        <v>257</v>
      </c>
      <c r="D14" s="305">
        <v>0.053888888888888896</v>
      </c>
      <c r="E14" s="306">
        <v>2</v>
      </c>
      <c r="F14" s="306">
        <v>29</v>
      </c>
      <c r="G14" s="79"/>
      <c r="I14" s="83"/>
      <c r="J14" s="85"/>
      <c r="K14" s="86"/>
    </row>
    <row r="15" spans="1:11" s="15" customFormat="1" ht="15">
      <c r="A15" s="303">
        <v>11</v>
      </c>
      <c r="B15" s="304" t="s">
        <v>219</v>
      </c>
      <c r="C15" s="304" t="s">
        <v>79</v>
      </c>
      <c r="D15" s="305">
        <v>0.05425925925925926</v>
      </c>
      <c r="E15" s="306">
        <v>3</v>
      </c>
      <c r="F15" s="306">
        <v>28</v>
      </c>
      <c r="G15" s="79"/>
      <c r="I15" s="83"/>
      <c r="J15" s="85"/>
      <c r="K15" s="86"/>
    </row>
    <row r="16" spans="1:11" s="15" customFormat="1" ht="15">
      <c r="A16" s="307">
        <v>12</v>
      </c>
      <c r="B16" s="308" t="s">
        <v>259</v>
      </c>
      <c r="C16" s="308" t="s">
        <v>256</v>
      </c>
      <c r="D16" s="309">
        <v>0.054293981481481485</v>
      </c>
      <c r="E16" s="310">
        <v>1</v>
      </c>
      <c r="F16" s="310">
        <v>30</v>
      </c>
      <c r="G16" s="79"/>
      <c r="I16" s="83"/>
      <c r="J16" s="85"/>
      <c r="K16" s="86"/>
    </row>
    <row r="17" spans="1:11" s="15" customFormat="1" ht="15">
      <c r="A17" s="299">
        <v>13</v>
      </c>
      <c r="B17" s="300" t="s">
        <v>115</v>
      </c>
      <c r="C17" s="300" t="s">
        <v>116</v>
      </c>
      <c r="D17" s="301">
        <v>0.054317129629629625</v>
      </c>
      <c r="E17" s="302">
        <v>7</v>
      </c>
      <c r="F17" s="302">
        <v>24</v>
      </c>
      <c r="G17" s="79"/>
      <c r="I17" s="83"/>
      <c r="J17" s="85"/>
      <c r="K17" s="86"/>
    </row>
    <row r="18" spans="1:11" s="15" customFormat="1" ht="15">
      <c r="A18" s="299">
        <v>14</v>
      </c>
      <c r="B18" s="300" t="s">
        <v>117</v>
      </c>
      <c r="C18" s="300" t="s">
        <v>118</v>
      </c>
      <c r="D18" s="301">
        <v>0.05445601851851852</v>
      </c>
      <c r="E18" s="302">
        <v>8</v>
      </c>
      <c r="F18" s="302">
        <v>23</v>
      </c>
      <c r="G18" s="79"/>
      <c r="I18" s="83"/>
      <c r="J18" s="85"/>
      <c r="K18" s="86"/>
    </row>
    <row r="19" spans="1:11" s="15" customFormat="1" ht="15">
      <c r="A19" s="307">
        <v>15</v>
      </c>
      <c r="B19" s="308" t="s">
        <v>189</v>
      </c>
      <c r="C19" s="308" t="s">
        <v>162</v>
      </c>
      <c r="D19" s="309">
        <v>0.056296296296296296</v>
      </c>
      <c r="E19" s="310">
        <v>2</v>
      </c>
      <c r="F19" s="310">
        <v>29</v>
      </c>
      <c r="G19" s="79"/>
      <c r="I19" s="83"/>
      <c r="J19" s="85"/>
      <c r="K19" s="86"/>
    </row>
    <row r="20" spans="1:11" s="15" customFormat="1" ht="15">
      <c r="A20" s="299">
        <v>16</v>
      </c>
      <c r="B20" s="300" t="s">
        <v>219</v>
      </c>
      <c r="C20" s="300" t="s">
        <v>241</v>
      </c>
      <c r="D20" s="301">
        <v>0.05635416666666667</v>
      </c>
      <c r="E20" s="302">
        <v>9</v>
      </c>
      <c r="F20" s="302">
        <v>22</v>
      </c>
      <c r="G20" s="79"/>
      <c r="I20" s="83"/>
      <c r="J20" s="85"/>
      <c r="K20" s="86"/>
    </row>
    <row r="21" spans="1:11" s="15" customFormat="1" ht="15">
      <c r="A21" s="307">
        <v>17</v>
      </c>
      <c r="B21" s="308" t="s">
        <v>228</v>
      </c>
      <c r="C21" s="308" t="s">
        <v>340</v>
      </c>
      <c r="D21" s="309">
        <v>0.056469907407407406</v>
      </c>
      <c r="E21" s="310">
        <v>3</v>
      </c>
      <c r="F21" s="310">
        <v>28</v>
      </c>
      <c r="G21" s="79"/>
      <c r="I21" s="83"/>
      <c r="J21" s="85"/>
      <c r="K21" s="86"/>
    </row>
    <row r="22" spans="1:5" s="268" customFormat="1" ht="15">
      <c r="A22" s="230">
        <v>18</v>
      </c>
      <c r="B22" s="266" t="s">
        <v>442</v>
      </c>
      <c r="C22" s="266" t="s">
        <v>443</v>
      </c>
      <c r="D22" s="321">
        <v>0.05681712962962963</v>
      </c>
      <c r="E22" s="267"/>
    </row>
    <row r="23" spans="1:11" s="15" customFormat="1" ht="15">
      <c r="A23" s="299">
        <v>19</v>
      </c>
      <c r="B23" s="300" t="s">
        <v>314</v>
      </c>
      <c r="C23" s="300" t="s">
        <v>101</v>
      </c>
      <c r="D23" s="301">
        <v>0.056851851851851855</v>
      </c>
      <c r="E23" s="302">
        <v>10</v>
      </c>
      <c r="F23" s="302">
        <v>21</v>
      </c>
      <c r="G23" s="79"/>
      <c r="I23" s="83"/>
      <c r="J23" s="85"/>
      <c r="K23" s="86"/>
    </row>
    <row r="24" spans="1:11" s="15" customFormat="1" ht="15">
      <c r="A24" s="307">
        <v>20</v>
      </c>
      <c r="B24" s="308" t="s">
        <v>276</v>
      </c>
      <c r="C24" s="308" t="s">
        <v>38</v>
      </c>
      <c r="D24" s="309">
        <v>0.056921296296296296</v>
      </c>
      <c r="E24" s="310">
        <v>4</v>
      </c>
      <c r="F24" s="310">
        <v>27</v>
      </c>
      <c r="G24" s="79"/>
      <c r="I24" s="83"/>
      <c r="J24" s="85"/>
      <c r="K24" s="86"/>
    </row>
    <row r="25" spans="1:11" s="15" customFormat="1" ht="15">
      <c r="A25" s="307">
        <v>21</v>
      </c>
      <c r="B25" s="308" t="s">
        <v>305</v>
      </c>
      <c r="C25" s="308" t="s">
        <v>306</v>
      </c>
      <c r="D25" s="309">
        <v>0.05740740740740741</v>
      </c>
      <c r="E25" s="310">
        <v>5</v>
      </c>
      <c r="F25" s="310">
        <v>26</v>
      </c>
      <c r="G25" s="79"/>
      <c r="I25" s="83"/>
      <c r="J25" s="85"/>
      <c r="K25" s="86"/>
    </row>
    <row r="26" spans="1:11" s="15" customFormat="1" ht="15">
      <c r="A26" s="307">
        <v>22</v>
      </c>
      <c r="B26" s="308" t="s">
        <v>63</v>
      </c>
      <c r="C26" s="308" t="s">
        <v>38</v>
      </c>
      <c r="D26" s="309">
        <v>0.05768518518518518</v>
      </c>
      <c r="E26" s="310">
        <v>6</v>
      </c>
      <c r="F26" s="310">
        <v>25</v>
      </c>
      <c r="G26" s="79"/>
      <c r="I26" s="83"/>
      <c r="J26" s="85"/>
      <c r="K26" s="86"/>
    </row>
    <row r="27" spans="1:11" s="15" customFormat="1" ht="15">
      <c r="A27" s="307">
        <v>23</v>
      </c>
      <c r="B27" s="308" t="s">
        <v>314</v>
      </c>
      <c r="C27" s="308" t="s">
        <v>238</v>
      </c>
      <c r="D27" s="309">
        <v>0.057708333333333334</v>
      </c>
      <c r="E27" s="310">
        <v>7</v>
      </c>
      <c r="F27" s="310">
        <v>24</v>
      </c>
      <c r="G27" s="79"/>
      <c r="I27" s="83"/>
      <c r="J27" s="85"/>
      <c r="K27" s="86"/>
    </row>
    <row r="28" spans="1:11" s="15" customFormat="1" ht="15">
      <c r="A28" s="303">
        <v>24</v>
      </c>
      <c r="B28" s="304" t="s">
        <v>31</v>
      </c>
      <c r="C28" s="304" t="s">
        <v>75</v>
      </c>
      <c r="D28" s="305">
        <v>0.0597337962962963</v>
      </c>
      <c r="E28" s="306">
        <v>4</v>
      </c>
      <c r="F28" s="306">
        <v>27</v>
      </c>
      <c r="G28" s="79"/>
      <c r="I28" s="83"/>
      <c r="J28" s="85"/>
      <c r="K28" s="86"/>
    </row>
    <row r="29" spans="1:11" s="15" customFormat="1" ht="15">
      <c r="A29" s="256">
        <v>25</v>
      </c>
      <c r="B29" s="257" t="s">
        <v>317</v>
      </c>
      <c r="C29" s="257" t="s">
        <v>116</v>
      </c>
      <c r="D29" s="311">
        <v>0.06107638888888889</v>
      </c>
      <c r="E29" s="312">
        <v>1</v>
      </c>
      <c r="F29" s="312">
        <v>30</v>
      </c>
      <c r="G29" s="79"/>
      <c r="I29" s="83"/>
      <c r="J29" s="85"/>
      <c r="K29" s="86"/>
    </row>
    <row r="30" spans="1:5" s="268" customFormat="1" ht="15">
      <c r="A30" s="230">
        <v>26</v>
      </c>
      <c r="B30" s="266" t="s">
        <v>385</v>
      </c>
      <c r="C30" s="266" t="s">
        <v>163</v>
      </c>
      <c r="D30" s="321">
        <v>0.06108796296296296</v>
      </c>
      <c r="E30" s="267"/>
    </row>
    <row r="31" spans="1:11" s="15" customFormat="1" ht="15">
      <c r="A31" s="256">
        <v>27</v>
      </c>
      <c r="B31" s="257" t="s">
        <v>367</v>
      </c>
      <c r="C31" s="257" t="s">
        <v>167</v>
      </c>
      <c r="D31" s="311">
        <v>0.06153935185185185</v>
      </c>
      <c r="E31" s="312">
        <v>2</v>
      </c>
      <c r="F31" s="312">
        <v>29</v>
      </c>
      <c r="G31" s="79"/>
      <c r="I31" s="83"/>
      <c r="J31" s="85"/>
      <c r="K31" s="86"/>
    </row>
    <row r="32" spans="1:11" s="15" customFormat="1" ht="15">
      <c r="A32" s="256">
        <v>28</v>
      </c>
      <c r="B32" s="257" t="s">
        <v>321</v>
      </c>
      <c r="C32" s="257" t="s">
        <v>190</v>
      </c>
      <c r="D32" s="311">
        <v>0.06300925925925926</v>
      </c>
      <c r="E32" s="312">
        <v>3</v>
      </c>
      <c r="F32" s="312">
        <v>28</v>
      </c>
      <c r="G32" s="79"/>
      <c r="I32" s="83"/>
      <c r="J32" s="85"/>
      <c r="K32" s="86"/>
    </row>
    <row r="33" spans="1:11" s="15" customFormat="1" ht="15">
      <c r="A33" s="256">
        <v>29</v>
      </c>
      <c r="B33" s="257" t="s">
        <v>96</v>
      </c>
      <c r="C33" s="257" t="s">
        <v>296</v>
      </c>
      <c r="D33" s="311">
        <v>0.06393518518518519</v>
      </c>
      <c r="E33" s="312">
        <v>4</v>
      </c>
      <c r="F33" s="312">
        <v>27</v>
      </c>
      <c r="G33" s="79"/>
      <c r="I33" s="83"/>
      <c r="J33" s="85"/>
      <c r="K33" s="86"/>
    </row>
    <row r="34" spans="1:11" s="15" customFormat="1" ht="15">
      <c r="A34" s="256">
        <v>30</v>
      </c>
      <c r="B34" s="257" t="s">
        <v>176</v>
      </c>
      <c r="C34" s="257" t="s">
        <v>177</v>
      </c>
      <c r="D34" s="311">
        <v>0.06598379629629629</v>
      </c>
      <c r="E34" s="312">
        <v>5</v>
      </c>
      <c r="F34" s="312">
        <v>26</v>
      </c>
      <c r="G34" s="79"/>
      <c r="I34" s="83"/>
      <c r="J34" s="85"/>
      <c r="K34" s="86"/>
    </row>
    <row r="35" spans="1:11" s="15" customFormat="1" ht="15">
      <c r="A35" s="256">
        <v>31</v>
      </c>
      <c r="B35" s="257" t="s">
        <v>73</v>
      </c>
      <c r="C35" s="257" t="s">
        <v>444</v>
      </c>
      <c r="D35" s="311">
        <v>0.06862268518518519</v>
      </c>
      <c r="E35" s="312">
        <v>6</v>
      </c>
      <c r="F35" s="312">
        <v>25</v>
      </c>
      <c r="G35" s="79"/>
      <c r="I35" s="83"/>
      <c r="J35" s="85"/>
      <c r="K35" s="86"/>
    </row>
    <row r="36" spans="1:6" s="15" customFormat="1" ht="15">
      <c r="A36" s="317">
        <v>32</v>
      </c>
      <c r="B36" s="318" t="s">
        <v>381</v>
      </c>
      <c r="C36" s="318" t="s">
        <v>200</v>
      </c>
      <c r="D36" s="319">
        <v>0.06863425925925926</v>
      </c>
      <c r="E36" s="320">
        <v>1</v>
      </c>
      <c r="F36" s="320">
        <v>30</v>
      </c>
    </row>
    <row r="37" spans="1:11" s="15" customFormat="1" ht="15">
      <c r="A37" s="256">
        <v>33</v>
      </c>
      <c r="B37" s="257" t="s">
        <v>366</v>
      </c>
      <c r="C37" s="257" t="s">
        <v>365</v>
      </c>
      <c r="D37" s="311">
        <v>0.07209490740740741</v>
      </c>
      <c r="E37" s="312">
        <v>7</v>
      </c>
      <c r="F37" s="312">
        <v>24</v>
      </c>
      <c r="G37" s="79"/>
      <c r="I37" s="83"/>
      <c r="J37" s="85"/>
      <c r="K37" s="86"/>
    </row>
    <row r="38" spans="1:6" s="15" customFormat="1" ht="15">
      <c r="A38" s="317">
        <v>34</v>
      </c>
      <c r="B38" s="318" t="s">
        <v>218</v>
      </c>
      <c r="C38" s="318" t="s">
        <v>292</v>
      </c>
      <c r="D38" s="319">
        <v>0.07224537037037036</v>
      </c>
      <c r="E38" s="320">
        <v>2</v>
      </c>
      <c r="F38" s="320">
        <v>29</v>
      </c>
    </row>
    <row r="39" spans="1:6" s="15" customFormat="1" ht="15">
      <c r="A39" s="317">
        <v>35</v>
      </c>
      <c r="B39" s="318" t="s">
        <v>233</v>
      </c>
      <c r="C39" s="318" t="s">
        <v>212</v>
      </c>
      <c r="D39" s="319">
        <v>0.07280092592592592</v>
      </c>
      <c r="E39" s="320">
        <v>3</v>
      </c>
      <c r="F39" s="320">
        <v>28</v>
      </c>
    </row>
    <row r="40" spans="1:11" s="15" customFormat="1" ht="15">
      <c r="A40" s="256">
        <v>36</v>
      </c>
      <c r="B40" s="257" t="s">
        <v>168</v>
      </c>
      <c r="C40" s="257" t="s">
        <v>371</v>
      </c>
      <c r="D40" s="311">
        <v>0.07402777777777779</v>
      </c>
      <c r="E40" s="312">
        <v>8</v>
      </c>
      <c r="F40" s="312">
        <v>23</v>
      </c>
      <c r="G40" s="79"/>
      <c r="I40" s="83"/>
      <c r="J40" s="85"/>
      <c r="K40" s="86"/>
    </row>
    <row r="41" spans="1:11" s="15" customFormat="1" ht="15">
      <c r="A41" s="313">
        <v>37</v>
      </c>
      <c r="B41" s="314" t="s">
        <v>31</v>
      </c>
      <c r="C41" s="314" t="s">
        <v>325</v>
      </c>
      <c r="D41" s="315">
        <v>0.07512731481481481</v>
      </c>
      <c r="E41" s="316">
        <v>1</v>
      </c>
      <c r="F41" s="316">
        <v>30</v>
      </c>
      <c r="G41" s="79"/>
      <c r="I41" s="83"/>
      <c r="J41" s="85"/>
      <c r="K41" s="86"/>
    </row>
    <row r="42" spans="1:6" s="15" customFormat="1" ht="15">
      <c r="A42" s="317">
        <v>38</v>
      </c>
      <c r="B42" s="318" t="s">
        <v>265</v>
      </c>
      <c r="C42" s="318" t="s">
        <v>264</v>
      </c>
      <c r="D42" s="319">
        <v>0.07570601851851852</v>
      </c>
      <c r="E42" s="320">
        <v>4</v>
      </c>
      <c r="F42" s="320">
        <v>27</v>
      </c>
    </row>
    <row r="43" spans="1:6" s="15" customFormat="1" ht="15">
      <c r="A43" s="317">
        <v>39</v>
      </c>
      <c r="B43" s="318" t="s">
        <v>390</v>
      </c>
      <c r="C43" s="318" t="s">
        <v>207</v>
      </c>
      <c r="D43" s="319">
        <v>0.07585648148148148</v>
      </c>
      <c r="E43" s="320">
        <v>5</v>
      </c>
      <c r="F43" s="320">
        <v>26</v>
      </c>
    </row>
    <row r="44" spans="1:6" s="15" customFormat="1" ht="15">
      <c r="A44" s="317">
        <v>40</v>
      </c>
      <c r="B44" s="318" t="s">
        <v>224</v>
      </c>
      <c r="C44" s="318" t="s">
        <v>263</v>
      </c>
      <c r="D44" s="319">
        <v>0.07653935185185186</v>
      </c>
      <c r="E44" s="320">
        <v>6</v>
      </c>
      <c r="F44" s="320">
        <v>25</v>
      </c>
    </row>
    <row r="45" spans="1:5" s="268" customFormat="1" ht="15">
      <c r="A45" s="230">
        <v>41</v>
      </c>
      <c r="B45" s="266" t="s">
        <v>414</v>
      </c>
      <c r="C45" s="266" t="s">
        <v>445</v>
      </c>
      <c r="D45" s="258">
        <v>0.08085648148148149</v>
      </c>
      <c r="E45" s="267"/>
    </row>
    <row r="46" spans="1:6" s="15" customFormat="1" ht="15">
      <c r="A46" s="317">
        <v>42</v>
      </c>
      <c r="B46" s="318" t="s">
        <v>392</v>
      </c>
      <c r="C46" s="318" t="s">
        <v>211</v>
      </c>
      <c r="D46" s="319">
        <v>0.08136574074074074</v>
      </c>
      <c r="E46" s="320">
        <v>7</v>
      </c>
      <c r="F46" s="320">
        <v>24</v>
      </c>
    </row>
    <row r="47" spans="1:5" s="268" customFormat="1" ht="15">
      <c r="A47" s="230">
        <v>43</v>
      </c>
      <c r="B47" s="266" t="s">
        <v>446</v>
      </c>
      <c r="C47" s="266" t="s">
        <v>447</v>
      </c>
      <c r="D47" s="258">
        <v>0.08136574074074074</v>
      </c>
      <c r="E47" s="267"/>
    </row>
    <row r="48" spans="1:5" s="268" customFormat="1" ht="15">
      <c r="A48" s="230">
        <v>44</v>
      </c>
      <c r="B48" s="266" t="s">
        <v>448</v>
      </c>
      <c r="C48" s="266" t="s">
        <v>318</v>
      </c>
      <c r="D48" s="258">
        <v>0.08140046296296297</v>
      </c>
      <c r="E48" s="267"/>
    </row>
    <row r="49" spans="1:6" s="15" customFormat="1" ht="15">
      <c r="A49" s="317">
        <v>45</v>
      </c>
      <c r="B49" s="318" t="s">
        <v>245</v>
      </c>
      <c r="C49" s="318" t="s">
        <v>244</v>
      </c>
      <c r="D49" s="319">
        <v>0.08685185185185185</v>
      </c>
      <c r="E49" s="320">
        <v>8</v>
      </c>
      <c r="F49" s="320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3"/>
  <sheetViews>
    <sheetView showGridLines="0" zoomScalePageLayoutView="0" workbookViewId="0" topLeftCell="A81">
      <selection activeCell="D105" sqref="D105"/>
    </sheetView>
  </sheetViews>
  <sheetFormatPr defaultColWidth="9.140625" defaultRowHeight="15"/>
  <cols>
    <col min="1" max="1" width="9.140625" style="262" customWidth="1"/>
    <col min="2" max="2" width="11.8515625" style="264" bestFit="1" customWidth="1"/>
    <col min="3" max="3" width="11.57421875" style="264" bestFit="1" customWidth="1"/>
    <col min="4" max="4" width="9.140625" style="262" customWidth="1"/>
    <col min="5" max="5" width="10.421875" style="260" customWidth="1"/>
    <col min="6" max="6" width="22.28125" style="260" customWidth="1"/>
    <col min="7" max="7" width="25.421875" style="263" customWidth="1"/>
    <col min="8" max="16384" width="9.140625" style="263" customWidth="1"/>
  </cols>
  <sheetData>
    <row r="1" spans="1:5" s="251" customFormat="1" ht="18" customHeight="1">
      <c r="A1" s="246" t="s">
        <v>453</v>
      </c>
      <c r="B1" s="248"/>
      <c r="C1" s="247"/>
      <c r="D1" s="250"/>
      <c r="E1" s="250"/>
    </row>
    <row r="2" spans="1:6" s="259" customFormat="1" ht="15">
      <c r="A2" s="252"/>
      <c r="B2" s="249"/>
      <c r="C2" s="249"/>
      <c r="D2" s="253"/>
      <c r="E2" s="253"/>
      <c r="F2" s="249"/>
    </row>
    <row r="3" spans="1:6" s="259" customFormat="1" ht="15">
      <c r="A3" s="82" t="s">
        <v>227</v>
      </c>
      <c r="B3" s="249"/>
      <c r="C3" s="249"/>
      <c r="D3" s="255"/>
      <c r="E3" s="255"/>
      <c r="F3" s="123"/>
    </row>
    <row r="4" spans="1:6" s="259" customFormat="1" ht="15">
      <c r="A4" s="254" t="s">
        <v>20</v>
      </c>
      <c r="B4" s="254" t="s">
        <v>17</v>
      </c>
      <c r="C4" s="254" t="s">
        <v>18</v>
      </c>
      <c r="D4" s="255" t="s">
        <v>20</v>
      </c>
      <c r="E4" s="255" t="s">
        <v>216</v>
      </c>
      <c r="F4" s="123"/>
    </row>
    <row r="5" spans="1:3" ht="15">
      <c r="A5" s="262">
        <v>1</v>
      </c>
      <c r="B5" s="261" t="s">
        <v>396</v>
      </c>
      <c r="C5" s="261" t="s">
        <v>397</v>
      </c>
    </row>
    <row r="6" spans="1:3" ht="15">
      <c r="A6" s="262">
        <v>2</v>
      </c>
      <c r="B6" s="261" t="s">
        <v>67</v>
      </c>
      <c r="C6" s="261" t="s">
        <v>398</v>
      </c>
    </row>
    <row r="7" spans="1:10" s="15" customFormat="1" ht="15">
      <c r="A7" s="295">
        <v>3</v>
      </c>
      <c r="B7" s="296" t="s">
        <v>31</v>
      </c>
      <c r="C7" s="296" t="s">
        <v>310</v>
      </c>
      <c r="D7" s="298">
        <v>1</v>
      </c>
      <c r="E7" s="298">
        <v>30</v>
      </c>
      <c r="F7" s="79"/>
      <c r="H7" s="83"/>
      <c r="I7" s="85"/>
      <c r="J7" s="86"/>
    </row>
    <row r="8" spans="1:10" s="15" customFormat="1" ht="15">
      <c r="A8" s="295">
        <v>4</v>
      </c>
      <c r="B8" s="296" t="s">
        <v>218</v>
      </c>
      <c r="C8" s="296" t="s">
        <v>30</v>
      </c>
      <c r="D8" s="298">
        <v>2</v>
      </c>
      <c r="E8" s="298">
        <v>29</v>
      </c>
      <c r="F8" s="79"/>
      <c r="H8" s="83"/>
      <c r="I8" s="85"/>
      <c r="J8" s="86"/>
    </row>
    <row r="9" spans="1:10" s="15" customFormat="1" ht="15">
      <c r="A9" s="295">
        <v>5</v>
      </c>
      <c r="B9" s="296" t="s">
        <v>33</v>
      </c>
      <c r="C9" s="296" t="s">
        <v>34</v>
      </c>
      <c r="D9" s="298">
        <v>3</v>
      </c>
      <c r="E9" s="298">
        <v>28</v>
      </c>
      <c r="F9" s="79"/>
      <c r="H9" s="83"/>
      <c r="I9" s="85"/>
      <c r="J9" s="86"/>
    </row>
    <row r="10" spans="1:10" s="15" customFormat="1" ht="15">
      <c r="A10" s="295">
        <v>6</v>
      </c>
      <c r="B10" s="296" t="s">
        <v>43</v>
      </c>
      <c r="C10" s="296" t="s">
        <v>44</v>
      </c>
      <c r="D10" s="298">
        <v>4</v>
      </c>
      <c r="E10" s="298">
        <v>27</v>
      </c>
      <c r="F10" s="79"/>
      <c r="H10" s="83"/>
      <c r="I10" s="85"/>
      <c r="J10" s="86"/>
    </row>
    <row r="11" spans="1:10" s="15" customFormat="1" ht="15">
      <c r="A11" s="295">
        <v>7</v>
      </c>
      <c r="B11" s="296" t="s">
        <v>347</v>
      </c>
      <c r="C11" s="296" t="s">
        <v>348</v>
      </c>
      <c r="D11" s="298">
        <v>5</v>
      </c>
      <c r="E11" s="298">
        <v>26</v>
      </c>
      <c r="F11" s="79"/>
      <c r="H11" s="83"/>
      <c r="I11" s="85"/>
      <c r="J11" s="86"/>
    </row>
    <row r="12" spans="1:10" s="15" customFormat="1" ht="15">
      <c r="A12" s="295">
        <v>8</v>
      </c>
      <c r="B12" s="296" t="s">
        <v>399</v>
      </c>
      <c r="C12" s="296" t="s">
        <v>400</v>
      </c>
      <c r="D12" s="298">
        <v>6</v>
      </c>
      <c r="E12" s="298">
        <v>25</v>
      </c>
      <c r="F12" s="79"/>
      <c r="H12" s="83"/>
      <c r="I12" s="85"/>
      <c r="J12" s="86"/>
    </row>
    <row r="13" spans="1:3" ht="15">
      <c r="A13" s="262">
        <v>9</v>
      </c>
      <c r="B13" s="261" t="s">
        <v>401</v>
      </c>
      <c r="C13" s="261" t="s">
        <v>254</v>
      </c>
    </row>
    <row r="14" spans="1:4" ht="15">
      <c r="A14" s="262">
        <v>10</v>
      </c>
      <c r="B14" s="264" t="s">
        <v>176</v>
      </c>
      <c r="C14" s="264" t="s">
        <v>402</v>
      </c>
      <c r="D14" s="265"/>
    </row>
    <row r="15" spans="1:10" s="15" customFormat="1" ht="15">
      <c r="A15" s="295">
        <v>11</v>
      </c>
      <c r="B15" s="296" t="s">
        <v>403</v>
      </c>
      <c r="C15" s="296" t="s">
        <v>51</v>
      </c>
      <c r="D15" s="298">
        <v>7</v>
      </c>
      <c r="E15" s="298">
        <v>24</v>
      </c>
      <c r="F15" s="79"/>
      <c r="H15" s="83"/>
      <c r="I15" s="85"/>
      <c r="J15" s="86"/>
    </row>
    <row r="16" spans="1:10" s="15" customFormat="1" ht="15">
      <c r="A16" s="303">
        <v>12</v>
      </c>
      <c r="B16" s="304" t="s">
        <v>187</v>
      </c>
      <c r="C16" s="304" t="s">
        <v>77</v>
      </c>
      <c r="D16" s="306">
        <v>1</v>
      </c>
      <c r="E16" s="306">
        <v>30</v>
      </c>
      <c r="F16" s="79"/>
      <c r="H16" s="83"/>
      <c r="I16" s="85"/>
      <c r="J16" s="86"/>
    </row>
    <row r="17" spans="1:4" ht="15">
      <c r="A17" s="262">
        <v>13</v>
      </c>
      <c r="B17" s="261" t="s">
        <v>383</v>
      </c>
      <c r="C17" s="261" t="s">
        <v>254</v>
      </c>
      <c r="D17" s="265"/>
    </row>
    <row r="18" spans="1:4" ht="15">
      <c r="A18" s="262">
        <v>14</v>
      </c>
      <c r="B18" s="261" t="s">
        <v>404</v>
      </c>
      <c r="C18" s="261" t="s">
        <v>405</v>
      </c>
      <c r="D18" s="265"/>
    </row>
    <row r="19" spans="1:10" s="15" customFormat="1" ht="15">
      <c r="A19" s="303">
        <v>15</v>
      </c>
      <c r="B19" s="304" t="s">
        <v>406</v>
      </c>
      <c r="C19" s="304" t="s">
        <v>407</v>
      </c>
      <c r="D19" s="306">
        <v>2</v>
      </c>
      <c r="E19" s="306">
        <v>29</v>
      </c>
      <c r="F19" s="79"/>
      <c r="H19" s="83"/>
      <c r="I19" s="85"/>
      <c r="J19" s="86"/>
    </row>
    <row r="20" spans="1:10" s="15" customFormat="1" ht="15">
      <c r="A20" s="303">
        <v>16</v>
      </c>
      <c r="B20" s="304" t="s">
        <v>408</v>
      </c>
      <c r="C20" s="304" t="s">
        <v>409</v>
      </c>
      <c r="D20" s="306">
        <v>3</v>
      </c>
      <c r="E20" s="306">
        <v>28</v>
      </c>
      <c r="F20" s="79"/>
      <c r="H20" s="83"/>
      <c r="I20" s="85"/>
      <c r="J20" s="86"/>
    </row>
    <row r="21" spans="1:10" s="15" customFormat="1" ht="15">
      <c r="A21" s="299">
        <v>17</v>
      </c>
      <c r="B21" s="300" t="s">
        <v>317</v>
      </c>
      <c r="C21" s="300" t="s">
        <v>307</v>
      </c>
      <c r="D21" s="302">
        <v>1</v>
      </c>
      <c r="E21" s="302">
        <v>30</v>
      </c>
      <c r="F21" s="79"/>
      <c r="H21" s="83"/>
      <c r="I21" s="85"/>
      <c r="J21" s="86"/>
    </row>
    <row r="22" spans="1:10" s="15" customFormat="1" ht="15">
      <c r="A22" s="303">
        <v>18</v>
      </c>
      <c r="B22" s="304" t="s">
        <v>352</v>
      </c>
      <c r="C22" s="304" t="s">
        <v>90</v>
      </c>
      <c r="D22" s="306">
        <v>4</v>
      </c>
      <c r="E22" s="306">
        <v>27</v>
      </c>
      <c r="F22" s="79"/>
      <c r="H22" s="83"/>
      <c r="I22" s="85"/>
      <c r="J22" s="86"/>
    </row>
    <row r="23" spans="1:10" s="15" customFormat="1" ht="15">
      <c r="A23" s="303">
        <v>19</v>
      </c>
      <c r="B23" s="304" t="s">
        <v>342</v>
      </c>
      <c r="C23" s="304" t="s">
        <v>106</v>
      </c>
      <c r="D23" s="306">
        <v>5</v>
      </c>
      <c r="E23" s="306">
        <v>26</v>
      </c>
      <c r="F23" s="79"/>
      <c r="H23" s="83"/>
      <c r="I23" s="85"/>
      <c r="J23" s="86"/>
    </row>
    <row r="24" spans="1:10" s="15" customFormat="1" ht="15">
      <c r="A24" s="299">
        <v>20</v>
      </c>
      <c r="B24" s="300" t="s">
        <v>320</v>
      </c>
      <c r="C24" s="300" t="s">
        <v>310</v>
      </c>
      <c r="D24" s="302">
        <v>2</v>
      </c>
      <c r="E24" s="302">
        <v>29</v>
      </c>
      <c r="F24" s="79"/>
      <c r="H24" s="83"/>
      <c r="I24" s="85"/>
      <c r="J24" s="86"/>
    </row>
    <row r="25" spans="1:10" s="15" customFormat="1" ht="15">
      <c r="A25" s="299">
        <v>21</v>
      </c>
      <c r="B25" s="300" t="s">
        <v>115</v>
      </c>
      <c r="C25" s="300" t="s">
        <v>116</v>
      </c>
      <c r="D25" s="302">
        <v>3</v>
      </c>
      <c r="E25" s="302">
        <v>28</v>
      </c>
      <c r="F25" s="79"/>
      <c r="H25" s="83"/>
      <c r="I25" s="85"/>
      <c r="J25" s="86"/>
    </row>
    <row r="26" spans="1:10" s="15" customFormat="1" ht="15">
      <c r="A26" s="299">
        <v>22</v>
      </c>
      <c r="B26" s="300" t="s">
        <v>63</v>
      </c>
      <c r="C26" s="300" t="s">
        <v>91</v>
      </c>
      <c r="D26" s="302">
        <v>4</v>
      </c>
      <c r="E26" s="302">
        <v>27</v>
      </c>
      <c r="F26" s="79"/>
      <c r="H26" s="83"/>
      <c r="I26" s="85"/>
      <c r="J26" s="86"/>
    </row>
    <row r="27" spans="1:10" s="15" customFormat="1" ht="15">
      <c r="A27" s="299">
        <v>23</v>
      </c>
      <c r="B27" s="300" t="s">
        <v>220</v>
      </c>
      <c r="C27" s="300" t="s">
        <v>354</v>
      </c>
      <c r="D27" s="302">
        <v>5</v>
      </c>
      <c r="E27" s="302">
        <v>26</v>
      </c>
      <c r="F27" s="79"/>
      <c r="H27" s="83"/>
      <c r="I27" s="85"/>
      <c r="J27" s="86"/>
    </row>
    <row r="28" spans="1:10" s="15" customFormat="1" ht="15">
      <c r="A28" s="299">
        <v>24</v>
      </c>
      <c r="B28" s="300" t="s">
        <v>314</v>
      </c>
      <c r="C28" s="300" t="s">
        <v>101</v>
      </c>
      <c r="D28" s="302">
        <v>6</v>
      </c>
      <c r="E28" s="302">
        <v>25</v>
      </c>
      <c r="F28" s="79"/>
      <c r="H28" s="83"/>
      <c r="I28" s="85"/>
      <c r="J28" s="86"/>
    </row>
    <row r="29" spans="1:10" s="15" customFormat="1" ht="15">
      <c r="A29" s="299">
        <v>25</v>
      </c>
      <c r="B29" s="300" t="s">
        <v>117</v>
      </c>
      <c r="C29" s="300" t="s">
        <v>118</v>
      </c>
      <c r="D29" s="302">
        <v>7</v>
      </c>
      <c r="E29" s="302">
        <v>24</v>
      </c>
      <c r="F29" s="79"/>
      <c r="H29" s="83"/>
      <c r="I29" s="85"/>
      <c r="J29" s="86"/>
    </row>
    <row r="30" spans="1:10" s="15" customFormat="1" ht="15">
      <c r="A30" s="299">
        <v>26</v>
      </c>
      <c r="B30" s="300" t="s">
        <v>219</v>
      </c>
      <c r="C30" s="300" t="s">
        <v>241</v>
      </c>
      <c r="D30" s="302">
        <v>8</v>
      </c>
      <c r="E30" s="302">
        <v>23</v>
      </c>
      <c r="F30" s="79"/>
      <c r="H30" s="83"/>
      <c r="I30" s="85"/>
      <c r="J30" s="86"/>
    </row>
    <row r="31" spans="1:10" s="15" customFormat="1" ht="15">
      <c r="A31" s="299">
        <v>27</v>
      </c>
      <c r="B31" s="300" t="s">
        <v>410</v>
      </c>
      <c r="C31" s="300" t="s">
        <v>270</v>
      </c>
      <c r="D31" s="302">
        <v>9</v>
      </c>
      <c r="E31" s="302">
        <v>22</v>
      </c>
      <c r="F31" s="79"/>
      <c r="H31" s="83"/>
      <c r="I31" s="85"/>
      <c r="J31" s="86"/>
    </row>
    <row r="32" spans="1:10" s="15" customFormat="1" ht="15">
      <c r="A32" s="299">
        <v>28</v>
      </c>
      <c r="B32" s="300" t="s">
        <v>353</v>
      </c>
      <c r="C32" s="300" t="s">
        <v>95</v>
      </c>
      <c r="D32" s="302">
        <v>10</v>
      </c>
      <c r="E32" s="302">
        <v>21</v>
      </c>
      <c r="F32" s="79"/>
      <c r="H32" s="83"/>
      <c r="I32" s="85"/>
      <c r="J32" s="86"/>
    </row>
    <row r="33" spans="1:10" s="15" customFormat="1" ht="15">
      <c r="A33" s="303">
        <v>29</v>
      </c>
      <c r="B33" s="304" t="s">
        <v>31</v>
      </c>
      <c r="C33" s="304" t="s">
        <v>75</v>
      </c>
      <c r="D33" s="306">
        <v>6</v>
      </c>
      <c r="E33" s="306">
        <v>25</v>
      </c>
      <c r="F33" s="79"/>
      <c r="H33" s="83"/>
      <c r="I33" s="85"/>
      <c r="J33" s="86"/>
    </row>
    <row r="34" spans="1:10" s="15" customFormat="1" ht="15">
      <c r="A34" s="307">
        <v>30</v>
      </c>
      <c r="B34" s="308" t="s">
        <v>103</v>
      </c>
      <c r="C34" s="308" t="s">
        <v>135</v>
      </c>
      <c r="D34" s="310">
        <v>1</v>
      </c>
      <c r="E34" s="310">
        <v>30</v>
      </c>
      <c r="F34" s="79"/>
      <c r="H34" s="83"/>
      <c r="I34" s="85"/>
      <c r="J34" s="86"/>
    </row>
    <row r="35" spans="1:10" s="15" customFormat="1" ht="15">
      <c r="A35" s="307">
        <v>31</v>
      </c>
      <c r="B35" s="308" t="s">
        <v>220</v>
      </c>
      <c r="C35" s="308" t="s">
        <v>122</v>
      </c>
      <c r="D35" s="310">
        <v>2</v>
      </c>
      <c r="E35" s="310">
        <v>29</v>
      </c>
      <c r="F35" s="79"/>
      <c r="H35" s="83"/>
      <c r="I35" s="85"/>
      <c r="J35" s="86"/>
    </row>
    <row r="36" spans="1:10" s="15" customFormat="1" ht="15">
      <c r="A36" s="307">
        <v>32</v>
      </c>
      <c r="B36" s="308" t="s">
        <v>119</v>
      </c>
      <c r="C36" s="308" t="s">
        <v>120</v>
      </c>
      <c r="D36" s="310">
        <v>3</v>
      </c>
      <c r="E36" s="310">
        <v>28</v>
      </c>
      <c r="F36" s="79"/>
      <c r="H36" s="83"/>
      <c r="I36" s="85"/>
      <c r="J36" s="86"/>
    </row>
    <row r="37" spans="1:10" s="15" customFormat="1" ht="15">
      <c r="A37" s="307">
        <v>33</v>
      </c>
      <c r="B37" s="308" t="s">
        <v>189</v>
      </c>
      <c r="C37" s="308" t="s">
        <v>162</v>
      </c>
      <c r="D37" s="310">
        <v>4</v>
      </c>
      <c r="E37" s="310">
        <v>27</v>
      </c>
      <c r="F37" s="79"/>
      <c r="H37" s="83"/>
      <c r="I37" s="85"/>
      <c r="J37" s="86"/>
    </row>
    <row r="38" spans="1:10" s="15" customFormat="1" ht="15">
      <c r="A38" s="256">
        <v>34</v>
      </c>
      <c r="B38" s="257" t="s">
        <v>103</v>
      </c>
      <c r="C38" s="257" t="s">
        <v>151</v>
      </c>
      <c r="D38" s="312">
        <v>1</v>
      </c>
      <c r="E38" s="312">
        <v>30</v>
      </c>
      <c r="F38" s="79"/>
      <c r="H38" s="83"/>
      <c r="I38" s="85"/>
      <c r="J38" s="86"/>
    </row>
    <row r="39" spans="1:3" ht="15">
      <c r="A39" s="262">
        <v>35</v>
      </c>
      <c r="B39" s="264" t="s">
        <v>411</v>
      </c>
      <c r="C39" s="264" t="s">
        <v>412</v>
      </c>
    </row>
    <row r="40" spans="1:10" s="15" customFormat="1" ht="15">
      <c r="A40" s="307">
        <v>36</v>
      </c>
      <c r="B40" s="308" t="s">
        <v>33</v>
      </c>
      <c r="C40" s="308" t="s">
        <v>327</v>
      </c>
      <c r="D40" s="310">
        <v>5</v>
      </c>
      <c r="E40" s="310">
        <v>26</v>
      </c>
      <c r="F40" s="79"/>
      <c r="H40" s="83"/>
      <c r="I40" s="85"/>
      <c r="J40" s="86"/>
    </row>
    <row r="41" spans="1:10" s="15" customFormat="1" ht="15">
      <c r="A41" s="307">
        <v>37</v>
      </c>
      <c r="B41" s="308" t="s">
        <v>276</v>
      </c>
      <c r="C41" s="308" t="s">
        <v>38</v>
      </c>
      <c r="D41" s="310">
        <v>6</v>
      </c>
      <c r="E41" s="310">
        <v>25</v>
      </c>
      <c r="F41" s="79"/>
      <c r="H41" s="83"/>
      <c r="I41" s="85"/>
      <c r="J41" s="86"/>
    </row>
    <row r="42" spans="1:10" s="15" customFormat="1" ht="15">
      <c r="A42" s="307">
        <v>38</v>
      </c>
      <c r="B42" s="308" t="s">
        <v>52</v>
      </c>
      <c r="C42" s="308" t="s">
        <v>122</v>
      </c>
      <c r="D42" s="310">
        <v>2</v>
      </c>
      <c r="E42" s="310">
        <v>29</v>
      </c>
      <c r="F42" s="79"/>
      <c r="H42" s="83"/>
      <c r="I42" s="85"/>
      <c r="J42" s="86"/>
    </row>
    <row r="43" spans="1:10" s="15" customFormat="1" ht="15">
      <c r="A43" s="307">
        <v>39</v>
      </c>
      <c r="B43" s="308" t="s">
        <v>228</v>
      </c>
      <c r="C43" s="308" t="s">
        <v>340</v>
      </c>
      <c r="D43" s="310">
        <v>7</v>
      </c>
      <c r="E43" s="310">
        <v>24</v>
      </c>
      <c r="F43" s="79"/>
      <c r="H43" s="83"/>
      <c r="I43" s="85"/>
      <c r="J43" s="86"/>
    </row>
    <row r="44" spans="1:10" s="15" customFormat="1" ht="15">
      <c r="A44" s="307">
        <v>40</v>
      </c>
      <c r="B44" s="308" t="s">
        <v>413</v>
      </c>
      <c r="C44" s="308" t="s">
        <v>137</v>
      </c>
      <c r="D44" s="310">
        <v>8</v>
      </c>
      <c r="E44" s="310">
        <v>23</v>
      </c>
      <c r="F44" s="79"/>
      <c r="H44" s="83"/>
      <c r="I44" s="85"/>
      <c r="J44" s="86"/>
    </row>
    <row r="45" spans="1:10" s="15" customFormat="1" ht="15">
      <c r="A45" s="307">
        <v>41</v>
      </c>
      <c r="B45" s="308" t="s">
        <v>414</v>
      </c>
      <c r="C45" s="308" t="s">
        <v>415</v>
      </c>
      <c r="D45" s="310">
        <v>9</v>
      </c>
      <c r="E45" s="310">
        <v>22</v>
      </c>
      <c r="F45" s="79"/>
      <c r="H45" s="83"/>
      <c r="I45" s="85"/>
      <c r="J45" s="86"/>
    </row>
    <row r="46" spans="1:10" s="15" customFormat="1" ht="15">
      <c r="A46" s="307">
        <v>42</v>
      </c>
      <c r="B46" s="308" t="s">
        <v>316</v>
      </c>
      <c r="C46" s="308" t="s">
        <v>315</v>
      </c>
      <c r="D46" s="310">
        <v>10</v>
      </c>
      <c r="E46" s="310">
        <v>21</v>
      </c>
      <c r="F46" s="79"/>
      <c r="H46" s="83"/>
      <c r="I46" s="85"/>
      <c r="J46" s="86"/>
    </row>
    <row r="47" spans="1:10" s="15" customFormat="1" ht="15">
      <c r="A47" s="303">
        <v>43</v>
      </c>
      <c r="B47" s="304" t="s">
        <v>350</v>
      </c>
      <c r="C47" s="304" t="s">
        <v>72</v>
      </c>
      <c r="D47" s="306">
        <v>7</v>
      </c>
      <c r="E47" s="306">
        <v>24</v>
      </c>
      <c r="F47" s="79"/>
      <c r="H47" s="83"/>
      <c r="I47" s="85"/>
      <c r="J47" s="86"/>
    </row>
    <row r="48" spans="1:10" s="15" customFormat="1" ht="15">
      <c r="A48" s="256">
        <v>44</v>
      </c>
      <c r="B48" s="257" t="s">
        <v>305</v>
      </c>
      <c r="C48" s="257" t="s">
        <v>307</v>
      </c>
      <c r="D48" s="312">
        <v>2</v>
      </c>
      <c r="E48" s="312">
        <v>29</v>
      </c>
      <c r="F48" s="79"/>
      <c r="H48" s="83"/>
      <c r="I48" s="85"/>
      <c r="J48" s="86"/>
    </row>
    <row r="49" spans="1:10" s="15" customFormat="1" ht="15">
      <c r="A49" s="256">
        <v>45</v>
      </c>
      <c r="B49" s="257" t="s">
        <v>360</v>
      </c>
      <c r="C49" s="257" t="s">
        <v>359</v>
      </c>
      <c r="D49" s="312">
        <v>3</v>
      </c>
      <c r="E49" s="312">
        <v>28</v>
      </c>
      <c r="F49" s="79"/>
      <c r="H49" s="83"/>
      <c r="I49" s="85"/>
      <c r="J49" s="86"/>
    </row>
    <row r="50" spans="1:10" s="15" customFormat="1" ht="15">
      <c r="A50" s="256">
        <v>46</v>
      </c>
      <c r="B50" s="257" t="s">
        <v>367</v>
      </c>
      <c r="C50" s="257" t="s">
        <v>167</v>
      </c>
      <c r="D50" s="312">
        <v>4</v>
      </c>
      <c r="E50" s="312">
        <v>27</v>
      </c>
      <c r="F50" s="79"/>
      <c r="H50" s="83"/>
      <c r="I50" s="85"/>
      <c r="J50" s="86"/>
    </row>
    <row r="51" spans="1:10" s="15" customFormat="1" ht="15">
      <c r="A51" s="256">
        <v>47</v>
      </c>
      <c r="B51" s="257" t="s">
        <v>63</v>
      </c>
      <c r="C51" s="257" t="s">
        <v>178</v>
      </c>
      <c r="D51" s="312">
        <v>5</v>
      </c>
      <c r="E51" s="312">
        <v>26</v>
      </c>
      <c r="F51" s="79"/>
      <c r="H51" s="83"/>
      <c r="I51" s="85"/>
      <c r="J51" s="86"/>
    </row>
    <row r="52" spans="1:10" s="15" customFormat="1" ht="15">
      <c r="A52" s="256">
        <v>48</v>
      </c>
      <c r="B52" s="257" t="s">
        <v>187</v>
      </c>
      <c r="C52" s="257" t="s">
        <v>374</v>
      </c>
      <c r="D52" s="312">
        <v>6</v>
      </c>
      <c r="E52" s="312">
        <v>25</v>
      </c>
      <c r="F52" s="79"/>
      <c r="H52" s="83"/>
      <c r="I52" s="85"/>
      <c r="J52" s="86"/>
    </row>
    <row r="53" spans="1:10" s="15" customFormat="1" ht="15">
      <c r="A53" s="256">
        <v>49</v>
      </c>
      <c r="B53" s="257" t="s">
        <v>168</v>
      </c>
      <c r="C53" s="257" t="s">
        <v>371</v>
      </c>
      <c r="D53" s="312">
        <v>7</v>
      </c>
      <c r="E53" s="312">
        <v>24</v>
      </c>
      <c r="F53" s="79"/>
      <c r="H53" s="83"/>
      <c r="I53" s="85"/>
      <c r="J53" s="86"/>
    </row>
    <row r="54" spans="1:10" s="15" customFormat="1" ht="15">
      <c r="A54" s="256">
        <v>50</v>
      </c>
      <c r="B54" s="257" t="s">
        <v>321</v>
      </c>
      <c r="C54" s="257" t="s">
        <v>190</v>
      </c>
      <c r="D54" s="312">
        <v>8</v>
      </c>
      <c r="E54" s="312">
        <v>23</v>
      </c>
      <c r="F54" s="79"/>
      <c r="H54" s="83"/>
      <c r="I54" s="85"/>
      <c r="J54" s="86"/>
    </row>
    <row r="55" spans="1:10" s="15" customFormat="1" ht="15">
      <c r="A55" s="256">
        <v>51</v>
      </c>
      <c r="B55" s="257" t="s">
        <v>366</v>
      </c>
      <c r="C55" s="257" t="s">
        <v>365</v>
      </c>
      <c r="D55" s="312">
        <v>9</v>
      </c>
      <c r="E55" s="312">
        <v>22</v>
      </c>
      <c r="F55" s="79"/>
      <c r="H55" s="83"/>
      <c r="I55" s="85"/>
      <c r="J55" s="86"/>
    </row>
    <row r="56" spans="1:10" s="15" customFormat="1" ht="15">
      <c r="A56" s="256">
        <v>52</v>
      </c>
      <c r="B56" s="257" t="s">
        <v>96</v>
      </c>
      <c r="C56" s="257" t="s">
        <v>296</v>
      </c>
      <c r="D56" s="312">
        <v>10</v>
      </c>
      <c r="E56" s="312">
        <v>21</v>
      </c>
      <c r="F56" s="79"/>
      <c r="H56" s="83"/>
      <c r="I56" s="85"/>
      <c r="J56" s="86"/>
    </row>
    <row r="57" spans="1:10" s="15" customFormat="1" ht="15">
      <c r="A57" s="256">
        <v>53</v>
      </c>
      <c r="B57" s="257" t="s">
        <v>176</v>
      </c>
      <c r="C57" s="257" t="s">
        <v>177</v>
      </c>
      <c r="D57" s="312">
        <v>11</v>
      </c>
      <c r="E57" s="312">
        <v>20</v>
      </c>
      <c r="F57" s="79"/>
      <c r="H57" s="83"/>
      <c r="I57" s="85"/>
      <c r="J57" s="86"/>
    </row>
    <row r="58" spans="1:10" s="15" customFormat="1" ht="15">
      <c r="A58" s="256">
        <v>54</v>
      </c>
      <c r="B58" s="257" t="s">
        <v>73</v>
      </c>
      <c r="C58" s="257" t="s">
        <v>373</v>
      </c>
      <c r="D58" s="312">
        <v>12</v>
      </c>
      <c r="E58" s="312">
        <v>19</v>
      </c>
      <c r="F58" s="79"/>
      <c r="H58" s="83"/>
      <c r="I58" s="85"/>
      <c r="J58" s="86"/>
    </row>
    <row r="59" spans="1:10" s="15" customFormat="1" ht="15">
      <c r="A59" s="313">
        <v>55</v>
      </c>
      <c r="B59" s="314" t="s">
        <v>31</v>
      </c>
      <c r="C59" s="314" t="s">
        <v>325</v>
      </c>
      <c r="D59" s="316">
        <v>1</v>
      </c>
      <c r="E59" s="316">
        <v>30</v>
      </c>
      <c r="F59" s="79"/>
      <c r="H59" s="83"/>
      <c r="I59" s="85"/>
      <c r="J59" s="86"/>
    </row>
    <row r="60" spans="1:10" s="15" customFormat="1" ht="15">
      <c r="A60" s="313">
        <v>56</v>
      </c>
      <c r="B60" s="314" t="s">
        <v>332</v>
      </c>
      <c r="C60" s="314" t="s">
        <v>333</v>
      </c>
      <c r="D60" s="316">
        <v>2</v>
      </c>
      <c r="E60" s="316">
        <v>29</v>
      </c>
      <c r="F60" s="79"/>
      <c r="H60" s="83"/>
      <c r="I60" s="85"/>
      <c r="J60" s="86"/>
    </row>
    <row r="61" spans="1:10" s="15" customFormat="1" ht="15">
      <c r="A61" s="313">
        <v>57</v>
      </c>
      <c r="B61" s="314" t="s">
        <v>191</v>
      </c>
      <c r="C61" s="314" t="s">
        <v>192</v>
      </c>
      <c r="D61" s="316">
        <v>3</v>
      </c>
      <c r="E61" s="316">
        <v>28</v>
      </c>
      <c r="F61" s="79"/>
      <c r="H61" s="83"/>
      <c r="I61" s="85"/>
      <c r="J61" s="86"/>
    </row>
    <row r="62" spans="1:5" s="15" customFormat="1" ht="15">
      <c r="A62" s="317">
        <v>58</v>
      </c>
      <c r="B62" s="318" t="s">
        <v>239</v>
      </c>
      <c r="C62" s="318" t="s">
        <v>240</v>
      </c>
      <c r="D62" s="320">
        <v>1</v>
      </c>
      <c r="E62" s="320">
        <v>30</v>
      </c>
    </row>
    <row r="63" spans="1:5" s="15" customFormat="1" ht="15">
      <c r="A63" s="317">
        <v>59</v>
      </c>
      <c r="B63" s="318" t="s">
        <v>218</v>
      </c>
      <c r="C63" s="318" t="s">
        <v>292</v>
      </c>
      <c r="D63" s="320">
        <v>2</v>
      </c>
      <c r="E63" s="320">
        <v>29</v>
      </c>
    </row>
    <row r="64" spans="1:5" s="15" customFormat="1" ht="15">
      <c r="A64" s="317">
        <v>60</v>
      </c>
      <c r="B64" s="318" t="s">
        <v>381</v>
      </c>
      <c r="C64" s="318" t="s">
        <v>200</v>
      </c>
      <c r="D64" s="320">
        <v>3</v>
      </c>
      <c r="E64" s="320">
        <v>28</v>
      </c>
    </row>
    <row r="65" spans="1:10" s="15" customFormat="1" ht="15">
      <c r="A65" s="313">
        <v>61</v>
      </c>
      <c r="B65" s="314" t="s">
        <v>334</v>
      </c>
      <c r="C65" s="314" t="s">
        <v>335</v>
      </c>
      <c r="D65" s="316">
        <v>4</v>
      </c>
      <c r="E65" s="316">
        <v>27</v>
      </c>
      <c r="F65" s="79"/>
      <c r="H65" s="83"/>
      <c r="I65" s="85"/>
      <c r="J65" s="86"/>
    </row>
    <row r="66" spans="1:5" s="15" customFormat="1" ht="15">
      <c r="A66" s="317">
        <v>62</v>
      </c>
      <c r="B66" s="318" t="s">
        <v>383</v>
      </c>
      <c r="C66" s="318" t="s">
        <v>382</v>
      </c>
      <c r="D66" s="320">
        <v>5</v>
      </c>
      <c r="E66" s="320">
        <v>26</v>
      </c>
    </row>
    <row r="67" spans="1:5" s="15" customFormat="1" ht="15">
      <c r="A67" s="317">
        <v>63</v>
      </c>
      <c r="B67" s="318" t="s">
        <v>265</v>
      </c>
      <c r="C67" s="318" t="s">
        <v>264</v>
      </c>
      <c r="D67" s="320">
        <v>6</v>
      </c>
      <c r="E67" s="320">
        <v>25</v>
      </c>
    </row>
    <row r="68" spans="1:5" s="15" customFormat="1" ht="15">
      <c r="A68" s="317">
        <v>64</v>
      </c>
      <c r="B68" s="318" t="s">
        <v>233</v>
      </c>
      <c r="C68" s="318" t="s">
        <v>212</v>
      </c>
      <c r="D68" s="320">
        <v>7</v>
      </c>
      <c r="E68" s="320">
        <v>24</v>
      </c>
    </row>
    <row r="69" spans="1:5" s="15" customFormat="1" ht="15">
      <c r="A69" s="317">
        <v>65</v>
      </c>
      <c r="B69" s="318" t="s">
        <v>224</v>
      </c>
      <c r="C69" s="318" t="s">
        <v>263</v>
      </c>
      <c r="D69" s="320">
        <v>8</v>
      </c>
      <c r="E69" s="320">
        <v>23</v>
      </c>
    </row>
    <row r="70" spans="1:5" s="15" customFormat="1" ht="15">
      <c r="A70" s="317">
        <v>66</v>
      </c>
      <c r="B70" s="318" t="s">
        <v>390</v>
      </c>
      <c r="C70" s="318" t="s">
        <v>207</v>
      </c>
      <c r="D70" s="320">
        <v>9</v>
      </c>
      <c r="E70" s="320">
        <v>22</v>
      </c>
    </row>
    <row r="71" spans="1:4" ht="15">
      <c r="A71" s="262">
        <v>67</v>
      </c>
      <c r="B71" s="261" t="s">
        <v>416</v>
      </c>
      <c r="C71" s="261" t="s">
        <v>417</v>
      </c>
      <c r="D71" s="265"/>
    </row>
    <row r="72" spans="1:4" ht="15">
      <c r="A72" s="262">
        <v>68</v>
      </c>
      <c r="B72" s="261" t="s">
        <v>379</v>
      </c>
      <c r="C72" s="261" t="s">
        <v>418</v>
      </c>
      <c r="D72" s="265"/>
    </row>
    <row r="73" spans="1:5" s="15" customFormat="1" ht="15">
      <c r="A73" s="317">
        <v>69</v>
      </c>
      <c r="B73" s="318" t="s">
        <v>245</v>
      </c>
      <c r="C73" s="318" t="s">
        <v>419</v>
      </c>
      <c r="D73" s="320">
        <v>10</v>
      </c>
      <c r="E73" s="320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2" max="2" width="10.7109375" style="0" bestFit="1" customWidth="1"/>
    <col min="3" max="3" width="19.140625" style="0" bestFit="1" customWidth="1"/>
    <col min="4" max="4" width="7.140625" style="0" bestFit="1" customWidth="1"/>
    <col min="5" max="5" width="8.28125" style="0" bestFit="1" customWidth="1"/>
    <col min="6" max="6" width="7.140625" style="0" bestFit="1" customWidth="1"/>
    <col min="7" max="7" width="15.00390625" style="0" bestFit="1" customWidth="1"/>
    <col min="8" max="16384" width="9.140625" style="15" customWidth="1"/>
  </cols>
  <sheetData>
    <row r="1" spans="1:6" s="251" customFormat="1" ht="18" customHeight="1">
      <c r="A1" s="246" t="s">
        <v>451</v>
      </c>
      <c r="B1" s="248"/>
      <c r="C1" s="247"/>
      <c r="D1" s="250"/>
      <c r="E1" s="250"/>
      <c r="F1" s="250"/>
    </row>
    <row r="2" spans="1:7" s="259" customFormat="1" ht="15">
      <c r="A2" s="252"/>
      <c r="B2" s="249"/>
      <c r="C2" s="249"/>
      <c r="D2" s="253"/>
      <c r="E2" s="253"/>
      <c r="F2" s="253"/>
      <c r="G2" s="249"/>
    </row>
    <row r="3" spans="1:7" s="259" customFormat="1" ht="15">
      <c r="A3" s="82" t="s">
        <v>227</v>
      </c>
      <c r="B3" s="249"/>
      <c r="C3" s="249"/>
      <c r="D3" s="255"/>
      <c r="E3" s="255"/>
      <c r="F3" s="255"/>
      <c r="G3" s="123"/>
    </row>
    <row r="4" spans="1:7" s="259" customFormat="1" ht="15">
      <c r="A4" s="254" t="s">
        <v>20</v>
      </c>
      <c r="B4" s="254" t="s">
        <v>17</v>
      </c>
      <c r="C4" s="254" t="s">
        <v>18</v>
      </c>
      <c r="D4" s="255" t="s">
        <v>349</v>
      </c>
      <c r="E4" s="255" t="s">
        <v>20</v>
      </c>
      <c r="F4" s="255" t="s">
        <v>216</v>
      </c>
      <c r="G4" s="123"/>
    </row>
    <row r="5" spans="1:11" ht="15">
      <c r="A5" s="295">
        <v>1</v>
      </c>
      <c r="B5" s="296" t="s">
        <v>31</v>
      </c>
      <c r="C5" s="296" t="s">
        <v>310</v>
      </c>
      <c r="D5" s="297">
        <v>0.022662037037037036</v>
      </c>
      <c r="E5" s="298">
        <v>1</v>
      </c>
      <c r="F5" s="298">
        <v>30</v>
      </c>
      <c r="G5" s="79"/>
      <c r="I5" s="83"/>
      <c r="J5" s="85"/>
      <c r="K5" s="86"/>
    </row>
    <row r="6" spans="1:11" ht="15">
      <c r="A6" s="295">
        <v>2</v>
      </c>
      <c r="B6" s="296" t="s">
        <v>311</v>
      </c>
      <c r="C6" s="296" t="s">
        <v>38</v>
      </c>
      <c r="D6" s="297">
        <v>0.023229166666666665</v>
      </c>
      <c r="E6" s="298">
        <v>2</v>
      </c>
      <c r="F6" s="298">
        <v>29</v>
      </c>
      <c r="G6" s="79"/>
      <c r="I6" s="83"/>
      <c r="J6" s="85"/>
      <c r="K6" s="86"/>
    </row>
    <row r="7" spans="1:11" ht="15">
      <c r="A7" s="303">
        <v>3</v>
      </c>
      <c r="B7" s="304" t="s">
        <v>350</v>
      </c>
      <c r="C7" s="304" t="s">
        <v>72</v>
      </c>
      <c r="D7" s="305">
        <v>0.026030092592592594</v>
      </c>
      <c r="E7" s="306">
        <v>1</v>
      </c>
      <c r="F7" s="306">
        <v>30</v>
      </c>
      <c r="G7" s="79"/>
      <c r="I7" s="83"/>
      <c r="J7" s="85"/>
      <c r="K7" s="86"/>
    </row>
    <row r="8" spans="1:11" ht="15">
      <c r="A8" s="303">
        <v>4</v>
      </c>
      <c r="B8" s="304" t="s">
        <v>187</v>
      </c>
      <c r="C8" s="304" t="s">
        <v>77</v>
      </c>
      <c r="D8" s="305">
        <v>0.026539351851851852</v>
      </c>
      <c r="E8" s="306">
        <v>2</v>
      </c>
      <c r="F8" s="306">
        <v>29</v>
      </c>
      <c r="G8" s="79"/>
      <c r="I8" s="83"/>
      <c r="J8" s="85"/>
      <c r="K8" s="86"/>
    </row>
    <row r="9" spans="1:11" ht="15">
      <c r="A9" s="303">
        <v>5</v>
      </c>
      <c r="B9" s="304" t="s">
        <v>339</v>
      </c>
      <c r="C9" s="304" t="s">
        <v>338</v>
      </c>
      <c r="D9" s="305">
        <v>0.02667824074074074</v>
      </c>
      <c r="E9" s="306">
        <v>3</v>
      </c>
      <c r="F9" s="306">
        <v>28</v>
      </c>
      <c r="G9" s="79"/>
      <c r="I9" s="83"/>
      <c r="J9" s="85"/>
      <c r="K9" s="86"/>
    </row>
    <row r="10" spans="1:11" ht="15">
      <c r="A10" s="303">
        <v>6</v>
      </c>
      <c r="B10" s="304" t="s">
        <v>316</v>
      </c>
      <c r="C10" s="304" t="s">
        <v>351</v>
      </c>
      <c r="D10" s="305">
        <v>0.026724537037037036</v>
      </c>
      <c r="E10" s="306">
        <v>4</v>
      </c>
      <c r="F10" s="306">
        <v>27</v>
      </c>
      <c r="G10" s="79"/>
      <c r="I10" s="83"/>
      <c r="J10" s="85"/>
      <c r="K10" s="86"/>
    </row>
    <row r="11" spans="1:11" ht="15">
      <c r="A11" s="303">
        <v>7</v>
      </c>
      <c r="B11" s="304" t="s">
        <v>258</v>
      </c>
      <c r="C11" s="304" t="s">
        <v>257</v>
      </c>
      <c r="D11" s="305">
        <v>0.02638888888888889</v>
      </c>
      <c r="E11" s="306">
        <v>5</v>
      </c>
      <c r="F11" s="306">
        <v>26</v>
      </c>
      <c r="G11" s="79"/>
      <c r="I11" s="83"/>
      <c r="J11" s="85"/>
      <c r="K11" s="86"/>
    </row>
    <row r="12" spans="1:11" ht="15">
      <c r="A12" s="303">
        <v>8</v>
      </c>
      <c r="B12" s="304" t="s">
        <v>342</v>
      </c>
      <c r="C12" s="304" t="s">
        <v>106</v>
      </c>
      <c r="D12" s="305">
        <v>0.026909722222222224</v>
      </c>
      <c r="E12" s="306">
        <v>6</v>
      </c>
      <c r="F12" s="306">
        <v>25</v>
      </c>
      <c r="G12" s="79"/>
      <c r="I12" s="83"/>
      <c r="J12" s="85"/>
      <c r="K12" s="86"/>
    </row>
    <row r="13" spans="1:11" ht="15">
      <c r="A13" s="299">
        <v>9</v>
      </c>
      <c r="B13" s="300" t="s">
        <v>63</v>
      </c>
      <c r="C13" s="300" t="s">
        <v>110</v>
      </c>
      <c r="D13" s="301">
        <v>0.027037037037037037</v>
      </c>
      <c r="E13" s="302">
        <v>1</v>
      </c>
      <c r="F13" s="302">
        <v>30</v>
      </c>
      <c r="G13" s="79"/>
      <c r="I13" s="83"/>
      <c r="J13" s="85"/>
      <c r="K13" s="86"/>
    </row>
    <row r="14" spans="1:11" ht="15">
      <c r="A14" s="299">
        <v>10</v>
      </c>
      <c r="B14" s="300" t="s">
        <v>314</v>
      </c>
      <c r="C14" s="300" t="s">
        <v>101</v>
      </c>
      <c r="D14" s="301">
        <v>0.027083333333333334</v>
      </c>
      <c r="E14" s="302">
        <v>2</v>
      </c>
      <c r="F14" s="302">
        <v>29</v>
      </c>
      <c r="G14" s="79"/>
      <c r="I14" s="83"/>
      <c r="J14" s="85"/>
      <c r="K14" s="86"/>
    </row>
    <row r="15" spans="1:11" ht="15">
      <c r="A15" s="299">
        <v>11</v>
      </c>
      <c r="B15" s="300" t="s">
        <v>317</v>
      </c>
      <c r="C15" s="300" t="s">
        <v>307</v>
      </c>
      <c r="D15" s="301">
        <v>0.027303240740740743</v>
      </c>
      <c r="E15" s="302">
        <v>3</v>
      </c>
      <c r="F15" s="302">
        <v>28</v>
      </c>
      <c r="G15" s="79"/>
      <c r="I15" s="83"/>
      <c r="J15" s="85"/>
      <c r="K15" s="86"/>
    </row>
    <row r="16" spans="1:11" ht="15">
      <c r="A16" s="303">
        <v>12</v>
      </c>
      <c r="B16" s="304" t="s">
        <v>352</v>
      </c>
      <c r="C16" s="304" t="s">
        <v>90</v>
      </c>
      <c r="D16" s="305">
        <v>0.027372685185185184</v>
      </c>
      <c r="E16" s="306">
        <v>7</v>
      </c>
      <c r="F16" s="306">
        <v>24</v>
      </c>
      <c r="G16" s="79"/>
      <c r="I16" s="83"/>
      <c r="J16" s="85"/>
      <c r="K16" s="86"/>
    </row>
    <row r="17" spans="1:11" ht="15">
      <c r="A17" s="299">
        <v>13</v>
      </c>
      <c r="B17" s="300" t="s">
        <v>353</v>
      </c>
      <c r="C17" s="300" t="s">
        <v>95</v>
      </c>
      <c r="D17" s="301">
        <v>0.027395833333333338</v>
      </c>
      <c r="E17" s="302">
        <v>4</v>
      </c>
      <c r="F17" s="302">
        <v>27</v>
      </c>
      <c r="G17" s="79"/>
      <c r="I17" s="83"/>
      <c r="J17" s="85"/>
      <c r="K17" s="86"/>
    </row>
    <row r="18" spans="1:11" ht="15">
      <c r="A18" s="299">
        <v>14</v>
      </c>
      <c r="B18" s="300" t="s">
        <v>235</v>
      </c>
      <c r="C18" s="300" t="s">
        <v>236</v>
      </c>
      <c r="D18" s="301">
        <v>0.027557870370370368</v>
      </c>
      <c r="E18" s="302">
        <v>5</v>
      </c>
      <c r="F18" s="302">
        <v>26</v>
      </c>
      <c r="G18" s="79"/>
      <c r="I18" s="83"/>
      <c r="J18" s="85"/>
      <c r="K18" s="86"/>
    </row>
    <row r="19" spans="1:11" ht="15">
      <c r="A19" s="307">
        <v>15</v>
      </c>
      <c r="B19" s="308" t="s">
        <v>220</v>
      </c>
      <c r="C19" s="308" t="s">
        <v>122</v>
      </c>
      <c r="D19" s="309">
        <v>0.027766203703703706</v>
      </c>
      <c r="E19" s="310">
        <v>1</v>
      </c>
      <c r="F19" s="310">
        <v>30</v>
      </c>
      <c r="G19" s="79"/>
      <c r="I19" s="83"/>
      <c r="J19" s="85"/>
      <c r="K19" s="86"/>
    </row>
    <row r="20" spans="1:11" ht="15">
      <c r="A20" s="299">
        <v>16</v>
      </c>
      <c r="B20" s="300" t="s">
        <v>220</v>
      </c>
      <c r="C20" s="300" t="s">
        <v>354</v>
      </c>
      <c r="D20" s="301">
        <v>0.027777777777777776</v>
      </c>
      <c r="E20" s="302">
        <v>6</v>
      </c>
      <c r="F20" s="302">
        <v>25</v>
      </c>
      <c r="G20" s="79"/>
      <c r="I20" s="83"/>
      <c r="J20" s="85"/>
      <c r="K20" s="86"/>
    </row>
    <row r="21" spans="1:11" ht="15">
      <c r="A21" s="299">
        <v>17</v>
      </c>
      <c r="B21" s="300" t="s">
        <v>219</v>
      </c>
      <c r="C21" s="300" t="s">
        <v>355</v>
      </c>
      <c r="D21" s="301">
        <v>0.028171296296296302</v>
      </c>
      <c r="E21" s="302">
        <v>7</v>
      </c>
      <c r="F21" s="302">
        <v>24</v>
      </c>
      <c r="G21" s="79"/>
      <c r="I21" s="83"/>
      <c r="J21" s="85"/>
      <c r="K21" s="86"/>
    </row>
    <row r="22" spans="1:11" ht="15">
      <c r="A22" s="303">
        <v>18</v>
      </c>
      <c r="B22" s="304" t="s">
        <v>356</v>
      </c>
      <c r="C22" s="304" t="s">
        <v>83</v>
      </c>
      <c r="D22" s="305">
        <v>0.02826388888888889</v>
      </c>
      <c r="E22" s="306">
        <v>8</v>
      </c>
      <c r="F22" s="306">
        <v>23</v>
      </c>
      <c r="G22" s="79"/>
      <c r="I22" s="83"/>
      <c r="J22" s="85"/>
      <c r="K22" s="86"/>
    </row>
    <row r="23" spans="1:11" ht="15">
      <c r="A23" s="299">
        <v>19</v>
      </c>
      <c r="B23" s="300" t="s">
        <v>320</v>
      </c>
      <c r="C23" s="300" t="s">
        <v>310</v>
      </c>
      <c r="D23" s="301">
        <v>0.028599537037037034</v>
      </c>
      <c r="E23" s="302">
        <v>8</v>
      </c>
      <c r="F23" s="302">
        <v>23</v>
      </c>
      <c r="G23" s="79"/>
      <c r="I23" s="83"/>
      <c r="J23" s="85"/>
      <c r="K23" s="86"/>
    </row>
    <row r="24" spans="1:11" ht="15">
      <c r="A24" s="299">
        <v>20</v>
      </c>
      <c r="B24" s="300" t="s">
        <v>63</v>
      </c>
      <c r="C24" s="300" t="s">
        <v>91</v>
      </c>
      <c r="D24" s="301">
        <v>0.028622685185185185</v>
      </c>
      <c r="E24" s="302">
        <v>9</v>
      </c>
      <c r="F24" s="302">
        <v>22</v>
      </c>
      <c r="G24" s="79"/>
      <c r="I24" s="83"/>
      <c r="J24" s="85"/>
      <c r="K24" s="86"/>
    </row>
    <row r="25" spans="1:11" ht="15">
      <c r="A25" s="307">
        <v>21</v>
      </c>
      <c r="B25" s="308" t="s">
        <v>103</v>
      </c>
      <c r="C25" s="308" t="s">
        <v>104</v>
      </c>
      <c r="D25" s="309">
        <v>0.02871527777777778</v>
      </c>
      <c r="E25" s="310">
        <v>2</v>
      </c>
      <c r="F25" s="310">
        <v>29</v>
      </c>
      <c r="G25" s="79"/>
      <c r="I25" s="83"/>
      <c r="J25" s="85"/>
      <c r="K25" s="86"/>
    </row>
    <row r="26" spans="1:11" ht="15">
      <c r="A26" s="303">
        <v>22</v>
      </c>
      <c r="B26" s="304" t="s">
        <v>31</v>
      </c>
      <c r="C26" s="304" t="s">
        <v>75</v>
      </c>
      <c r="D26" s="305">
        <v>0.028773148148148145</v>
      </c>
      <c r="E26" s="306">
        <v>9</v>
      </c>
      <c r="F26" s="306">
        <v>22</v>
      </c>
      <c r="G26" s="79"/>
      <c r="I26" s="83"/>
      <c r="J26" s="85"/>
      <c r="K26" s="86"/>
    </row>
    <row r="27" spans="1:11" ht="15">
      <c r="A27" s="299">
        <v>23</v>
      </c>
      <c r="B27" s="300" t="s">
        <v>115</v>
      </c>
      <c r="C27" s="300" t="s">
        <v>116</v>
      </c>
      <c r="D27" s="301">
        <v>0.029409722222222223</v>
      </c>
      <c r="E27" s="302">
        <v>10</v>
      </c>
      <c r="F27" s="302">
        <v>21</v>
      </c>
      <c r="G27" s="79"/>
      <c r="I27" s="83"/>
      <c r="J27" s="85"/>
      <c r="K27" s="86"/>
    </row>
    <row r="28" spans="1:11" ht="15">
      <c r="A28" s="307">
        <v>24</v>
      </c>
      <c r="B28" s="308" t="s">
        <v>119</v>
      </c>
      <c r="C28" s="308" t="s">
        <v>120</v>
      </c>
      <c r="D28" s="309">
        <v>0.02956018518518519</v>
      </c>
      <c r="E28" s="310">
        <v>3</v>
      </c>
      <c r="F28" s="310">
        <v>28</v>
      </c>
      <c r="G28" s="79"/>
      <c r="I28" s="83"/>
      <c r="J28" s="85"/>
      <c r="K28" s="86"/>
    </row>
    <row r="29" spans="1:11" ht="15">
      <c r="A29" s="307">
        <v>25</v>
      </c>
      <c r="B29" s="308" t="s">
        <v>189</v>
      </c>
      <c r="C29" s="308" t="s">
        <v>162</v>
      </c>
      <c r="D29" s="309">
        <v>0.029594907407407407</v>
      </c>
      <c r="E29" s="310">
        <v>4</v>
      </c>
      <c r="F29" s="310">
        <v>27</v>
      </c>
      <c r="G29" s="79"/>
      <c r="I29" s="83"/>
      <c r="J29" s="85"/>
      <c r="K29" s="86"/>
    </row>
    <row r="30" spans="1:11" ht="15">
      <c r="A30" s="307">
        <v>26</v>
      </c>
      <c r="B30" s="308" t="s">
        <v>103</v>
      </c>
      <c r="C30" s="308" t="s">
        <v>135</v>
      </c>
      <c r="D30" s="309">
        <v>0.029756944444444447</v>
      </c>
      <c r="E30" s="310">
        <v>5</v>
      </c>
      <c r="F30" s="310">
        <v>26</v>
      </c>
      <c r="G30" s="79"/>
      <c r="I30" s="83"/>
      <c r="J30" s="85"/>
      <c r="K30" s="86"/>
    </row>
    <row r="31" spans="1:11" ht="15">
      <c r="A31" s="307">
        <v>27</v>
      </c>
      <c r="B31" s="308" t="s">
        <v>228</v>
      </c>
      <c r="C31" s="308" t="s">
        <v>340</v>
      </c>
      <c r="D31" s="309">
        <v>0.029780092592592594</v>
      </c>
      <c r="E31" s="310">
        <v>6</v>
      </c>
      <c r="F31" s="310">
        <v>25</v>
      </c>
      <c r="G31" s="79"/>
      <c r="I31" s="83"/>
      <c r="J31" s="85"/>
      <c r="K31" s="86"/>
    </row>
    <row r="32" spans="1:11" ht="15">
      <c r="A32" s="307">
        <v>28</v>
      </c>
      <c r="B32" s="308" t="s">
        <v>224</v>
      </c>
      <c r="C32" s="308" t="s">
        <v>38</v>
      </c>
      <c r="D32" s="309">
        <v>0.029791666666666664</v>
      </c>
      <c r="E32" s="310">
        <v>7</v>
      </c>
      <c r="F32" s="310">
        <v>24</v>
      </c>
      <c r="G32" s="79"/>
      <c r="I32" s="83"/>
      <c r="J32" s="85"/>
      <c r="K32" s="86"/>
    </row>
    <row r="33" spans="1:11" ht="15">
      <c r="A33" s="307">
        <v>29</v>
      </c>
      <c r="B33" s="308" t="s">
        <v>316</v>
      </c>
      <c r="C33" s="308" t="s">
        <v>315</v>
      </c>
      <c r="D33" s="309">
        <v>0.029849537037037036</v>
      </c>
      <c r="E33" s="310">
        <v>8</v>
      </c>
      <c r="F33" s="310">
        <v>23</v>
      </c>
      <c r="G33" s="79"/>
      <c r="I33" s="83"/>
      <c r="J33" s="85"/>
      <c r="K33" s="86"/>
    </row>
    <row r="34" spans="1:11" ht="15">
      <c r="A34" s="307">
        <v>30</v>
      </c>
      <c r="B34" s="308" t="s">
        <v>63</v>
      </c>
      <c r="C34" s="308" t="s">
        <v>38</v>
      </c>
      <c r="D34" s="309">
        <v>0.03005787037037037</v>
      </c>
      <c r="E34" s="310">
        <v>9</v>
      </c>
      <c r="F34" s="310">
        <v>22</v>
      </c>
      <c r="G34" s="79"/>
      <c r="I34" s="83"/>
      <c r="J34" s="85"/>
      <c r="K34" s="86"/>
    </row>
    <row r="35" spans="1:11" ht="15">
      <c r="A35" s="307">
        <v>31</v>
      </c>
      <c r="B35" s="308" t="s">
        <v>102</v>
      </c>
      <c r="C35" s="308" t="s">
        <v>326</v>
      </c>
      <c r="D35" s="309">
        <v>0.030300925925925926</v>
      </c>
      <c r="E35" s="310">
        <v>10</v>
      </c>
      <c r="F35" s="310">
        <v>21</v>
      </c>
      <c r="G35" s="79"/>
      <c r="I35" s="83"/>
      <c r="J35" s="85"/>
      <c r="K35" s="86"/>
    </row>
    <row r="36" spans="1:11" ht="15">
      <c r="A36" s="307">
        <v>32</v>
      </c>
      <c r="B36" s="308" t="s">
        <v>357</v>
      </c>
      <c r="C36" s="308" t="s">
        <v>238</v>
      </c>
      <c r="D36" s="309">
        <v>0.030347222222222223</v>
      </c>
      <c r="E36" s="310">
        <v>11</v>
      </c>
      <c r="F36" s="310">
        <v>20</v>
      </c>
      <c r="G36" s="79"/>
      <c r="I36" s="83"/>
      <c r="J36" s="85"/>
      <c r="K36" s="86"/>
    </row>
    <row r="37" spans="1:11" ht="15">
      <c r="A37" s="307">
        <v>33</v>
      </c>
      <c r="B37" s="308" t="s">
        <v>33</v>
      </c>
      <c r="C37" s="308" t="s">
        <v>327</v>
      </c>
      <c r="D37" s="309">
        <v>0.030486111111111113</v>
      </c>
      <c r="E37" s="310">
        <v>12</v>
      </c>
      <c r="F37" s="310">
        <v>19</v>
      </c>
      <c r="G37" s="79"/>
      <c r="I37" s="83"/>
      <c r="J37" s="85"/>
      <c r="K37" s="86"/>
    </row>
    <row r="38" spans="1:11" ht="15">
      <c r="A38" s="299">
        <v>34</v>
      </c>
      <c r="B38" s="300" t="s">
        <v>117</v>
      </c>
      <c r="C38" s="300" t="s">
        <v>118</v>
      </c>
      <c r="D38" s="301">
        <v>0.03053240740740741</v>
      </c>
      <c r="E38" s="302">
        <v>11</v>
      </c>
      <c r="F38" s="302">
        <v>20</v>
      </c>
      <c r="G38" s="79"/>
      <c r="I38" s="83"/>
      <c r="J38" s="85"/>
      <c r="K38" s="86"/>
    </row>
    <row r="39" spans="1:11" ht="15">
      <c r="A39" s="307" t="s">
        <v>358</v>
      </c>
      <c r="B39" s="308" t="s">
        <v>305</v>
      </c>
      <c r="C39" s="308" t="s">
        <v>306</v>
      </c>
      <c r="D39" s="309">
        <v>0.030567129629629628</v>
      </c>
      <c r="E39" s="310">
        <v>13</v>
      </c>
      <c r="F39" s="310">
        <v>18</v>
      </c>
      <c r="G39" s="79"/>
      <c r="I39" s="83"/>
      <c r="J39" s="85"/>
      <c r="K39" s="86"/>
    </row>
    <row r="40" spans="1:11" ht="15">
      <c r="A40" s="256" t="s">
        <v>358</v>
      </c>
      <c r="B40" s="257" t="s">
        <v>360</v>
      </c>
      <c r="C40" s="257" t="s">
        <v>359</v>
      </c>
      <c r="D40" s="311">
        <v>0.030567129629629628</v>
      </c>
      <c r="E40" s="312">
        <v>1</v>
      </c>
      <c r="F40" s="312">
        <v>30</v>
      </c>
      <c r="G40" s="79"/>
      <c r="I40" s="83"/>
      <c r="J40" s="85"/>
      <c r="K40" s="86"/>
    </row>
    <row r="41" spans="1:11" ht="15">
      <c r="A41" s="307">
        <v>37</v>
      </c>
      <c r="B41" s="308" t="s">
        <v>276</v>
      </c>
      <c r="C41" s="308" t="s">
        <v>38</v>
      </c>
      <c r="D41" s="309">
        <v>0.030775462962962966</v>
      </c>
      <c r="E41" s="310">
        <v>14</v>
      </c>
      <c r="F41" s="310">
        <v>17</v>
      </c>
      <c r="G41" s="79"/>
      <c r="I41" s="83"/>
      <c r="J41" s="85"/>
      <c r="K41" s="86"/>
    </row>
    <row r="42" spans="1:11" ht="15">
      <c r="A42" s="307">
        <v>38</v>
      </c>
      <c r="B42" s="308" t="s">
        <v>361</v>
      </c>
      <c r="C42" s="308" t="s">
        <v>84</v>
      </c>
      <c r="D42" s="309">
        <v>0.031342592592592596</v>
      </c>
      <c r="E42" s="310">
        <v>15</v>
      </c>
      <c r="F42" s="310">
        <v>16</v>
      </c>
      <c r="G42" s="79"/>
      <c r="I42" s="83"/>
      <c r="J42" s="85"/>
      <c r="K42" s="86"/>
    </row>
    <row r="43" spans="1:11" ht="15">
      <c r="A43" s="256">
        <v>39</v>
      </c>
      <c r="B43" s="257" t="s">
        <v>33</v>
      </c>
      <c r="C43" s="257" t="s">
        <v>123</v>
      </c>
      <c r="D43" s="311">
        <v>0.031435185185185184</v>
      </c>
      <c r="E43" s="312">
        <v>2</v>
      </c>
      <c r="F43" s="312">
        <v>29</v>
      </c>
      <c r="G43" s="79"/>
      <c r="I43" s="83"/>
      <c r="J43" s="85"/>
      <c r="K43" s="86"/>
    </row>
    <row r="44" spans="1:11" ht="15">
      <c r="A44" s="256">
        <v>40</v>
      </c>
      <c r="B44" s="257" t="s">
        <v>305</v>
      </c>
      <c r="C44" s="257" t="s">
        <v>307</v>
      </c>
      <c r="D44" s="311">
        <v>0.031516203703703706</v>
      </c>
      <c r="E44" s="312">
        <v>3</v>
      </c>
      <c r="F44" s="312">
        <v>28</v>
      </c>
      <c r="G44" s="79"/>
      <c r="I44" s="83"/>
      <c r="J44" s="85"/>
      <c r="K44" s="86"/>
    </row>
    <row r="45" spans="1:11" ht="15">
      <c r="A45" s="307">
        <v>41</v>
      </c>
      <c r="B45" s="308" t="s">
        <v>362</v>
      </c>
      <c r="C45" s="308" t="s">
        <v>291</v>
      </c>
      <c r="D45" s="309">
        <v>0.03158564814814815</v>
      </c>
      <c r="E45" s="310">
        <v>16</v>
      </c>
      <c r="F45" s="310">
        <v>15</v>
      </c>
      <c r="G45" s="79"/>
      <c r="I45" s="83"/>
      <c r="J45" s="85"/>
      <c r="K45" s="86"/>
    </row>
    <row r="46" spans="1:11" ht="15">
      <c r="A46" s="299">
        <v>42</v>
      </c>
      <c r="B46" s="300" t="s">
        <v>342</v>
      </c>
      <c r="C46" s="300" t="s">
        <v>341</v>
      </c>
      <c r="D46" s="301">
        <v>0.03163194444444444</v>
      </c>
      <c r="E46" s="302">
        <v>12</v>
      </c>
      <c r="F46" s="302">
        <v>19</v>
      </c>
      <c r="G46" s="79"/>
      <c r="I46" s="83"/>
      <c r="J46" s="85"/>
      <c r="K46" s="86"/>
    </row>
    <row r="47" spans="1:11" ht="15">
      <c r="A47" s="307">
        <v>43</v>
      </c>
      <c r="B47" s="308" t="s">
        <v>222</v>
      </c>
      <c r="C47" s="308" t="s">
        <v>221</v>
      </c>
      <c r="D47" s="309">
        <v>0.03166666666666667</v>
      </c>
      <c r="E47" s="310">
        <v>17</v>
      </c>
      <c r="F47" s="310">
        <v>14</v>
      </c>
      <c r="G47" s="79"/>
      <c r="I47" s="83"/>
      <c r="J47" s="85"/>
      <c r="K47" s="86"/>
    </row>
    <row r="48" spans="1:7" ht="15">
      <c r="A48" s="86">
        <v>44</v>
      </c>
      <c r="B48" s="15" t="s">
        <v>364</v>
      </c>
      <c r="C48" s="15" t="s">
        <v>363</v>
      </c>
      <c r="D48" s="258">
        <v>0.03125</v>
      </c>
      <c r="E48" s="258"/>
      <c r="F48" s="258"/>
      <c r="G48" s="15"/>
    </row>
    <row r="49" spans="1:11" ht="15">
      <c r="A49" s="256">
        <v>45</v>
      </c>
      <c r="B49" s="257" t="s">
        <v>366</v>
      </c>
      <c r="C49" s="257" t="s">
        <v>365</v>
      </c>
      <c r="D49" s="311">
        <v>0.03185185185185185</v>
      </c>
      <c r="E49" s="312">
        <v>4</v>
      </c>
      <c r="F49" s="312">
        <v>27</v>
      </c>
      <c r="G49" s="79"/>
      <c r="I49" s="83"/>
      <c r="J49" s="85"/>
      <c r="K49" s="86"/>
    </row>
    <row r="50" spans="1:11" ht="15">
      <c r="A50" s="256">
        <v>46</v>
      </c>
      <c r="B50" s="257" t="s">
        <v>63</v>
      </c>
      <c r="C50" s="257" t="s">
        <v>178</v>
      </c>
      <c r="D50" s="311">
        <v>0.03199074074074074</v>
      </c>
      <c r="E50" s="312">
        <v>5</v>
      </c>
      <c r="F50" s="312">
        <v>26</v>
      </c>
      <c r="G50" s="79"/>
      <c r="I50" s="83"/>
      <c r="J50" s="85"/>
      <c r="K50" s="86"/>
    </row>
    <row r="51" spans="1:11" ht="15">
      <c r="A51" s="256">
        <v>47</v>
      </c>
      <c r="B51" s="257" t="s">
        <v>367</v>
      </c>
      <c r="C51" s="257" t="s">
        <v>167</v>
      </c>
      <c r="D51" s="311">
        <v>0.032025462962962964</v>
      </c>
      <c r="E51" s="312">
        <v>6</v>
      </c>
      <c r="F51" s="312">
        <v>25</v>
      </c>
      <c r="G51" s="79"/>
      <c r="I51" s="83"/>
      <c r="J51" s="85"/>
      <c r="K51" s="86"/>
    </row>
    <row r="52" spans="1:7" ht="15">
      <c r="A52" s="86">
        <v>48</v>
      </c>
      <c r="B52" s="15" t="s">
        <v>369</v>
      </c>
      <c r="C52" s="15" t="s">
        <v>368</v>
      </c>
      <c r="D52" s="258">
        <v>0.03194444444444445</v>
      </c>
      <c r="E52" s="258"/>
      <c r="F52" s="258"/>
      <c r="G52" s="15"/>
    </row>
    <row r="53" spans="1:11" ht="15">
      <c r="A53" s="256">
        <v>49</v>
      </c>
      <c r="B53" s="257" t="s">
        <v>317</v>
      </c>
      <c r="C53" s="257" t="s">
        <v>116</v>
      </c>
      <c r="D53" s="311">
        <v>0.03236111111111111</v>
      </c>
      <c r="E53" s="312">
        <v>7</v>
      </c>
      <c r="F53" s="312">
        <v>24</v>
      </c>
      <c r="G53" s="79"/>
      <c r="I53" s="83"/>
      <c r="J53" s="85"/>
      <c r="K53" s="86"/>
    </row>
    <row r="54" spans="1:7" ht="15">
      <c r="A54" s="86">
        <v>50</v>
      </c>
      <c r="B54" s="15" t="s">
        <v>356</v>
      </c>
      <c r="C54" s="15" t="s">
        <v>370</v>
      </c>
      <c r="D54" s="258">
        <v>0.03194444444444445</v>
      </c>
      <c r="E54" s="258"/>
      <c r="F54" s="258"/>
      <c r="G54" s="15"/>
    </row>
    <row r="55" spans="1:11" ht="15">
      <c r="A55" s="256">
        <v>51</v>
      </c>
      <c r="B55" s="257" t="s">
        <v>103</v>
      </c>
      <c r="C55" s="257" t="s">
        <v>151</v>
      </c>
      <c r="D55" s="311">
        <v>0.033067129629629634</v>
      </c>
      <c r="E55" s="312">
        <v>8</v>
      </c>
      <c r="F55" s="312">
        <v>23</v>
      </c>
      <c r="G55" s="79"/>
      <c r="I55" s="83"/>
      <c r="J55" s="85"/>
      <c r="K55" s="86"/>
    </row>
    <row r="56" spans="1:11" ht="15">
      <c r="A56" s="256">
        <v>52</v>
      </c>
      <c r="B56" s="257" t="s">
        <v>321</v>
      </c>
      <c r="C56" s="257" t="s">
        <v>190</v>
      </c>
      <c r="D56" s="311">
        <v>0.03349537037037037</v>
      </c>
      <c r="E56" s="312">
        <v>9</v>
      </c>
      <c r="F56" s="312">
        <v>22</v>
      </c>
      <c r="G56" s="79"/>
      <c r="I56" s="83"/>
      <c r="J56" s="85"/>
      <c r="K56" s="86"/>
    </row>
    <row r="57" spans="1:11" ht="15">
      <c r="A57" s="256">
        <v>53</v>
      </c>
      <c r="B57" s="257" t="s">
        <v>372</v>
      </c>
      <c r="C57" s="257" t="s">
        <v>371</v>
      </c>
      <c r="D57" s="311">
        <v>0.03351851851851852</v>
      </c>
      <c r="E57" s="312">
        <v>10</v>
      </c>
      <c r="F57" s="312">
        <v>21</v>
      </c>
      <c r="G57" s="79"/>
      <c r="I57" s="83"/>
      <c r="J57" s="85"/>
      <c r="K57" s="86"/>
    </row>
    <row r="58" spans="1:11" ht="15">
      <c r="A58" s="256">
        <v>54</v>
      </c>
      <c r="B58" s="257" t="s">
        <v>181</v>
      </c>
      <c r="C58" s="257" t="s">
        <v>182</v>
      </c>
      <c r="D58" s="311">
        <v>0.033854166666666664</v>
      </c>
      <c r="E58" s="312">
        <v>11</v>
      </c>
      <c r="F58" s="312">
        <v>20</v>
      </c>
      <c r="G58" s="79"/>
      <c r="I58" s="83"/>
      <c r="J58" s="85"/>
      <c r="K58" s="86"/>
    </row>
    <row r="59" spans="1:11" ht="15">
      <c r="A59" s="256">
        <v>55</v>
      </c>
      <c r="B59" s="257" t="s">
        <v>176</v>
      </c>
      <c r="C59" s="257" t="s">
        <v>177</v>
      </c>
      <c r="D59" s="311">
        <v>0.03409722222222222</v>
      </c>
      <c r="E59" s="312">
        <v>12</v>
      </c>
      <c r="F59" s="312">
        <v>19</v>
      </c>
      <c r="G59" s="79"/>
      <c r="I59" s="83"/>
      <c r="J59" s="85"/>
      <c r="K59" s="86"/>
    </row>
    <row r="60" spans="1:11" ht="15">
      <c r="A60" s="256">
        <v>56</v>
      </c>
      <c r="B60" s="257" t="s">
        <v>96</v>
      </c>
      <c r="C60" s="257" t="s">
        <v>296</v>
      </c>
      <c r="D60" s="311">
        <v>0.034305555555555554</v>
      </c>
      <c r="E60" s="312">
        <v>13</v>
      </c>
      <c r="F60" s="312">
        <v>18</v>
      </c>
      <c r="G60" s="79"/>
      <c r="I60" s="83"/>
      <c r="J60" s="85"/>
      <c r="K60" s="86"/>
    </row>
    <row r="61" spans="1:11" ht="15">
      <c r="A61" s="256">
        <v>57</v>
      </c>
      <c r="B61" s="257" t="s">
        <v>139</v>
      </c>
      <c r="C61" s="257" t="s">
        <v>140</v>
      </c>
      <c r="D61" s="311">
        <v>0.03443287037037037</v>
      </c>
      <c r="E61" s="312">
        <v>14</v>
      </c>
      <c r="F61" s="312">
        <v>17</v>
      </c>
      <c r="G61" s="79"/>
      <c r="I61" s="83"/>
      <c r="J61" s="85"/>
      <c r="K61" s="86"/>
    </row>
    <row r="62" spans="1:11" ht="15">
      <c r="A62" s="256">
        <v>58</v>
      </c>
      <c r="B62" s="257" t="s">
        <v>73</v>
      </c>
      <c r="C62" s="257" t="s">
        <v>297</v>
      </c>
      <c r="D62" s="311">
        <v>0.034444444444444444</v>
      </c>
      <c r="E62" s="312">
        <v>15</v>
      </c>
      <c r="F62" s="312">
        <v>16</v>
      </c>
      <c r="G62" s="79"/>
      <c r="I62" s="83"/>
      <c r="J62" s="85"/>
      <c r="K62" s="86"/>
    </row>
    <row r="63" spans="1:11" ht="15">
      <c r="A63" s="313">
        <v>59</v>
      </c>
      <c r="B63" s="314" t="s">
        <v>229</v>
      </c>
      <c r="C63" s="314" t="s">
        <v>195</v>
      </c>
      <c r="D63" s="315">
        <v>0.03446759259259259</v>
      </c>
      <c r="E63" s="316">
        <v>1</v>
      </c>
      <c r="F63" s="316">
        <v>30</v>
      </c>
      <c r="G63" s="79"/>
      <c r="I63" s="83"/>
      <c r="J63" s="85"/>
      <c r="K63" s="86"/>
    </row>
    <row r="64" spans="1:11" ht="15">
      <c r="A64" s="313">
        <v>60</v>
      </c>
      <c r="B64" s="314" t="s">
        <v>261</v>
      </c>
      <c r="C64" s="314" t="s">
        <v>260</v>
      </c>
      <c r="D64" s="315">
        <v>0.03454861111111111</v>
      </c>
      <c r="E64" s="316">
        <v>2</v>
      </c>
      <c r="F64" s="316">
        <v>29</v>
      </c>
      <c r="G64" s="79"/>
      <c r="I64" s="83"/>
      <c r="J64" s="85"/>
      <c r="K64" s="86"/>
    </row>
    <row r="65" spans="1:11" ht="15">
      <c r="A65" s="256">
        <v>61</v>
      </c>
      <c r="B65" s="257" t="s">
        <v>187</v>
      </c>
      <c r="C65" s="257" t="s">
        <v>374</v>
      </c>
      <c r="D65" s="311">
        <v>0.03479166666666667</v>
      </c>
      <c r="E65" s="312">
        <v>16</v>
      </c>
      <c r="F65" s="312">
        <v>15</v>
      </c>
      <c r="G65" s="79"/>
      <c r="I65" s="83"/>
      <c r="J65" s="85"/>
      <c r="K65" s="86"/>
    </row>
    <row r="66" spans="1:11" ht="15">
      <c r="A66" s="313">
        <v>62</v>
      </c>
      <c r="B66" s="314" t="s">
        <v>330</v>
      </c>
      <c r="C66" s="314" t="s">
        <v>331</v>
      </c>
      <c r="D66" s="315">
        <v>0.03533564814814815</v>
      </c>
      <c r="E66" s="316">
        <v>3</v>
      </c>
      <c r="F66" s="316">
        <v>28</v>
      </c>
      <c r="G66" s="79"/>
      <c r="I66" s="83"/>
      <c r="J66" s="85"/>
      <c r="K66" s="86"/>
    </row>
    <row r="67" spans="1:7" ht="15">
      <c r="A67" s="86">
        <v>63</v>
      </c>
      <c r="B67" s="15" t="s">
        <v>376</v>
      </c>
      <c r="C67" s="15" t="s">
        <v>375</v>
      </c>
      <c r="D67" s="258">
        <v>0.03546296296296297</v>
      </c>
      <c r="E67" s="258"/>
      <c r="F67" s="258"/>
      <c r="G67" s="15"/>
    </row>
    <row r="68" spans="1:11" ht="15">
      <c r="A68" s="313">
        <v>64</v>
      </c>
      <c r="B68" s="314" t="s">
        <v>378</v>
      </c>
      <c r="C68" s="314" t="s">
        <v>377</v>
      </c>
      <c r="D68" s="315">
        <v>0.03550925925925926</v>
      </c>
      <c r="E68" s="316">
        <v>4</v>
      </c>
      <c r="F68" s="316">
        <v>27</v>
      </c>
      <c r="G68" s="79"/>
      <c r="I68" s="83"/>
      <c r="J68" s="85"/>
      <c r="K68" s="86"/>
    </row>
    <row r="69" spans="1:11" ht="15">
      <c r="A69" s="313">
        <v>65</v>
      </c>
      <c r="B69" s="314" t="s">
        <v>63</v>
      </c>
      <c r="C69" s="314" t="s">
        <v>322</v>
      </c>
      <c r="D69" s="315">
        <v>0.03561342592592592</v>
      </c>
      <c r="E69" s="316">
        <v>5</v>
      </c>
      <c r="F69" s="316">
        <v>26</v>
      </c>
      <c r="G69" s="79"/>
      <c r="I69" s="83"/>
      <c r="J69" s="85"/>
      <c r="K69" s="86"/>
    </row>
    <row r="70" spans="1:11" ht="15">
      <c r="A70" s="313">
        <v>66</v>
      </c>
      <c r="B70" s="314" t="s">
        <v>379</v>
      </c>
      <c r="C70" s="314" t="s">
        <v>341</v>
      </c>
      <c r="D70" s="315">
        <v>0.035416666666666666</v>
      </c>
      <c r="E70" s="316">
        <v>6</v>
      </c>
      <c r="F70" s="316">
        <v>25</v>
      </c>
      <c r="G70" s="79"/>
      <c r="I70" s="83"/>
      <c r="J70" s="85"/>
      <c r="K70" s="86"/>
    </row>
    <row r="71" spans="1:11" ht="15">
      <c r="A71" s="313">
        <v>67</v>
      </c>
      <c r="B71" s="314" t="s">
        <v>191</v>
      </c>
      <c r="C71" s="314" t="s">
        <v>192</v>
      </c>
      <c r="D71" s="315">
        <v>0.03571759259259259</v>
      </c>
      <c r="E71" s="316">
        <v>7</v>
      </c>
      <c r="F71" s="316">
        <v>24</v>
      </c>
      <c r="G71" s="79"/>
      <c r="I71" s="83"/>
      <c r="J71" s="85"/>
      <c r="K71" s="86"/>
    </row>
    <row r="72" spans="1:11" ht="15">
      <c r="A72" s="313">
        <v>68</v>
      </c>
      <c r="B72" s="314" t="s">
        <v>332</v>
      </c>
      <c r="C72" s="314" t="s">
        <v>333</v>
      </c>
      <c r="D72" s="315">
        <v>0.03585648148148148</v>
      </c>
      <c r="E72" s="316">
        <v>8</v>
      </c>
      <c r="F72" s="316">
        <v>23</v>
      </c>
      <c r="G72" s="79"/>
      <c r="I72" s="83"/>
      <c r="J72" s="85"/>
      <c r="K72" s="86"/>
    </row>
    <row r="73" spans="1:11" ht="15">
      <c r="A73" s="313">
        <v>69</v>
      </c>
      <c r="B73" s="314" t="s">
        <v>220</v>
      </c>
      <c r="C73" s="314" t="s">
        <v>145</v>
      </c>
      <c r="D73" s="315">
        <v>0.035937500000000004</v>
      </c>
      <c r="E73" s="316">
        <v>9</v>
      </c>
      <c r="F73" s="316">
        <v>22</v>
      </c>
      <c r="G73" s="79"/>
      <c r="I73" s="83"/>
      <c r="J73" s="85"/>
      <c r="K73" s="86"/>
    </row>
    <row r="74" spans="1:7" ht="15">
      <c r="A74" s="317">
        <v>70</v>
      </c>
      <c r="B74" s="318" t="s">
        <v>336</v>
      </c>
      <c r="C74" s="318" t="s">
        <v>380</v>
      </c>
      <c r="D74" s="319">
        <v>0.0372337962962963</v>
      </c>
      <c r="E74" s="320">
        <v>1</v>
      </c>
      <c r="F74" s="320">
        <v>30</v>
      </c>
      <c r="G74" s="15"/>
    </row>
    <row r="75" spans="1:11" ht="15">
      <c r="A75" s="313">
        <v>71</v>
      </c>
      <c r="B75" s="314" t="s">
        <v>194</v>
      </c>
      <c r="C75" s="314" t="s">
        <v>145</v>
      </c>
      <c r="D75" s="315">
        <v>0.03732638888888889</v>
      </c>
      <c r="E75" s="316">
        <v>10</v>
      </c>
      <c r="F75" s="316">
        <v>21</v>
      </c>
      <c r="G75" s="79"/>
      <c r="I75" s="83"/>
      <c r="J75" s="85"/>
      <c r="K75" s="86"/>
    </row>
    <row r="76" spans="1:7" ht="15">
      <c r="A76" s="317">
        <v>72</v>
      </c>
      <c r="B76" s="318" t="s">
        <v>265</v>
      </c>
      <c r="C76" s="318" t="s">
        <v>264</v>
      </c>
      <c r="D76" s="319">
        <v>0.03680555555555556</v>
      </c>
      <c r="E76" s="320">
        <v>2</v>
      </c>
      <c r="F76" s="320">
        <v>29</v>
      </c>
      <c r="G76" s="15"/>
    </row>
    <row r="77" spans="1:7" ht="15">
      <c r="A77" s="317">
        <v>73</v>
      </c>
      <c r="B77" s="318" t="s">
        <v>381</v>
      </c>
      <c r="C77" s="318" t="s">
        <v>200</v>
      </c>
      <c r="D77" s="319">
        <v>0.03740740740740741</v>
      </c>
      <c r="E77" s="320">
        <v>3</v>
      </c>
      <c r="F77" s="320">
        <v>28</v>
      </c>
      <c r="G77" s="15"/>
    </row>
    <row r="78" spans="1:7" ht="15">
      <c r="A78" s="317">
        <v>74</v>
      </c>
      <c r="B78" s="318" t="s">
        <v>218</v>
      </c>
      <c r="C78" s="318" t="s">
        <v>292</v>
      </c>
      <c r="D78" s="319">
        <v>0.03743055555555556</v>
      </c>
      <c r="E78" s="320">
        <v>4</v>
      </c>
      <c r="F78" s="320">
        <v>27</v>
      </c>
      <c r="G78" s="15"/>
    </row>
    <row r="79" spans="1:11" ht="15">
      <c r="A79" s="256">
        <v>75</v>
      </c>
      <c r="B79" s="257" t="s">
        <v>196</v>
      </c>
      <c r="C79" s="257" t="s">
        <v>38</v>
      </c>
      <c r="D79" s="311">
        <v>0.03747685185185185</v>
      </c>
      <c r="E79" s="312">
        <v>17</v>
      </c>
      <c r="F79" s="312">
        <v>14</v>
      </c>
      <c r="G79" s="79"/>
      <c r="I79" s="83"/>
      <c r="J79" s="85"/>
      <c r="K79" s="86"/>
    </row>
    <row r="80" spans="1:7" ht="15">
      <c r="A80" s="317">
        <v>76</v>
      </c>
      <c r="B80" s="318" t="s">
        <v>239</v>
      </c>
      <c r="C80" s="318" t="s">
        <v>240</v>
      </c>
      <c r="D80" s="319">
        <v>0.03767361111111111</v>
      </c>
      <c r="E80" s="320">
        <v>5</v>
      </c>
      <c r="F80" s="320">
        <v>26</v>
      </c>
      <c r="G80" s="15"/>
    </row>
    <row r="81" spans="1:11" ht="15">
      <c r="A81" s="313">
        <v>77</v>
      </c>
      <c r="B81" s="314" t="s">
        <v>31</v>
      </c>
      <c r="C81" s="314" t="s">
        <v>325</v>
      </c>
      <c r="D81" s="315">
        <v>0.037812500000000006</v>
      </c>
      <c r="E81" s="316">
        <v>11</v>
      </c>
      <c r="F81" s="316">
        <v>20</v>
      </c>
      <c r="G81" s="79"/>
      <c r="I81" s="83"/>
      <c r="J81" s="85"/>
      <c r="K81" s="86"/>
    </row>
    <row r="82" spans="1:7" ht="15">
      <c r="A82" s="317">
        <v>78</v>
      </c>
      <c r="B82" s="318" t="s">
        <v>383</v>
      </c>
      <c r="C82" s="318" t="s">
        <v>382</v>
      </c>
      <c r="D82" s="319">
        <v>0.03813657407407407</v>
      </c>
      <c r="E82" s="320">
        <v>6</v>
      </c>
      <c r="F82" s="320">
        <v>25</v>
      </c>
      <c r="G82" s="15"/>
    </row>
    <row r="83" spans="1:7" ht="15">
      <c r="A83" s="317">
        <v>79</v>
      </c>
      <c r="B83" s="318" t="s">
        <v>224</v>
      </c>
      <c r="C83" s="318" t="s">
        <v>263</v>
      </c>
      <c r="D83" s="319">
        <v>0.03829861111111111</v>
      </c>
      <c r="E83" s="320">
        <v>7</v>
      </c>
      <c r="F83" s="320">
        <v>24</v>
      </c>
      <c r="G83" s="15"/>
    </row>
    <row r="84" spans="1:7" ht="15">
      <c r="A84" s="317">
        <v>80</v>
      </c>
      <c r="B84" s="318" t="s">
        <v>234</v>
      </c>
      <c r="C84" s="318" t="s">
        <v>230</v>
      </c>
      <c r="D84" s="319">
        <v>0.03832175925925926</v>
      </c>
      <c r="E84" s="320">
        <v>8</v>
      </c>
      <c r="F84" s="320">
        <v>23</v>
      </c>
      <c r="G84" s="15"/>
    </row>
    <row r="85" spans="1:7" ht="15">
      <c r="A85" s="86">
        <v>81</v>
      </c>
      <c r="B85" s="15" t="s">
        <v>385</v>
      </c>
      <c r="C85" s="15" t="s">
        <v>384</v>
      </c>
      <c r="D85" s="258">
        <v>0.03819444444444444</v>
      </c>
      <c r="E85" s="258"/>
      <c r="F85" s="258"/>
      <c r="G85" s="15"/>
    </row>
    <row r="86" spans="1:7" ht="15">
      <c r="A86" s="86">
        <v>82</v>
      </c>
      <c r="B86" s="15" t="s">
        <v>387</v>
      </c>
      <c r="C86" s="15" t="s">
        <v>386</v>
      </c>
      <c r="D86" s="258">
        <v>0.038831018518518515</v>
      </c>
      <c r="E86" s="258"/>
      <c r="F86" s="258"/>
      <c r="G86" s="15"/>
    </row>
    <row r="87" spans="1:11" ht="15">
      <c r="A87" s="307">
        <v>83</v>
      </c>
      <c r="B87" s="308" t="s">
        <v>389</v>
      </c>
      <c r="C87" s="308" t="s">
        <v>388</v>
      </c>
      <c r="D87" s="309">
        <v>0.03884259259259259</v>
      </c>
      <c r="E87" s="310">
        <v>18</v>
      </c>
      <c r="F87" s="310">
        <v>13</v>
      </c>
      <c r="G87" s="79"/>
      <c r="I87" s="83"/>
      <c r="J87" s="85"/>
      <c r="K87" s="86"/>
    </row>
    <row r="88" spans="1:7" ht="15">
      <c r="A88" s="317">
        <v>84</v>
      </c>
      <c r="B88" s="318" t="s">
        <v>390</v>
      </c>
      <c r="C88" s="318" t="s">
        <v>207</v>
      </c>
      <c r="D88" s="319">
        <v>0.03899305555555555</v>
      </c>
      <c r="E88" s="320">
        <v>9</v>
      </c>
      <c r="F88" s="320">
        <v>22</v>
      </c>
      <c r="G88" s="15"/>
    </row>
    <row r="89" spans="1:11" ht="15">
      <c r="A89" s="313" t="s">
        <v>391</v>
      </c>
      <c r="B89" s="314" t="s">
        <v>334</v>
      </c>
      <c r="C89" s="314" t="s">
        <v>335</v>
      </c>
      <c r="D89" s="315">
        <v>0.041192129629629634</v>
      </c>
      <c r="E89" s="316">
        <v>12</v>
      </c>
      <c r="F89" s="316">
        <v>19</v>
      </c>
      <c r="G89" s="79"/>
      <c r="I89" s="83"/>
      <c r="J89" s="85"/>
      <c r="K89" s="86"/>
    </row>
    <row r="90" spans="1:7" ht="15">
      <c r="A90" s="317" t="s">
        <v>391</v>
      </c>
      <c r="B90" s="318" t="s">
        <v>249</v>
      </c>
      <c r="C90" s="318" t="s">
        <v>210</v>
      </c>
      <c r="D90" s="319">
        <v>0.041192129629629634</v>
      </c>
      <c r="E90" s="320">
        <v>11</v>
      </c>
      <c r="F90" s="320">
        <v>20</v>
      </c>
      <c r="G90" s="15"/>
    </row>
    <row r="91" spans="1:7" ht="15">
      <c r="A91" s="317">
        <v>87</v>
      </c>
      <c r="B91" s="318" t="s">
        <v>392</v>
      </c>
      <c r="C91" s="318" t="s">
        <v>211</v>
      </c>
      <c r="D91" s="319">
        <v>0.041354166666666664</v>
      </c>
      <c r="E91" s="320">
        <v>12</v>
      </c>
      <c r="F91" s="320">
        <v>19</v>
      </c>
      <c r="G91" s="15"/>
    </row>
    <row r="92" spans="1:7" ht="15">
      <c r="A92" s="317">
        <v>88</v>
      </c>
      <c r="B92" s="318" t="s">
        <v>245</v>
      </c>
      <c r="C92" s="318" t="s">
        <v>244</v>
      </c>
      <c r="D92" s="319">
        <v>0.042256944444444444</v>
      </c>
      <c r="E92" s="320">
        <v>13</v>
      </c>
      <c r="F92" s="320">
        <v>18</v>
      </c>
      <c r="G92" s="15"/>
    </row>
    <row r="93" spans="1:11" ht="15">
      <c r="A93" s="303">
        <v>89</v>
      </c>
      <c r="B93" s="304" t="s">
        <v>113</v>
      </c>
      <c r="C93" s="304" t="s">
        <v>114</v>
      </c>
      <c r="D93" s="305">
        <v>0.04230324074074074</v>
      </c>
      <c r="E93" s="306">
        <v>10</v>
      </c>
      <c r="F93" s="306">
        <v>21</v>
      </c>
      <c r="G93" s="79"/>
      <c r="I93" s="83"/>
      <c r="J93" s="85"/>
      <c r="K93" s="86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2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339" customWidth="1"/>
    <col min="2" max="2" width="11.28125" style="339" bestFit="1" customWidth="1"/>
    <col min="3" max="3" width="14.421875" style="0" bestFit="1" customWidth="1"/>
    <col min="4" max="4" width="3.7109375" style="15" customWidth="1"/>
    <col min="5" max="5" width="12.57421875" style="232" bestFit="1" customWidth="1"/>
    <col min="6" max="6" width="12.57421875" style="0" bestFit="1" customWidth="1"/>
    <col min="7" max="7" width="3.7109375" style="15" customWidth="1"/>
    <col min="8" max="8" width="12.57421875" style="232" bestFit="1" customWidth="1"/>
    <col min="9" max="9" width="14.421875" style="232" bestFit="1" customWidth="1"/>
    <col min="10" max="10" width="12.57421875" style="0" customWidth="1"/>
    <col min="11" max="11" width="3.7109375" style="15" customWidth="1"/>
    <col min="12" max="12" width="12.57421875" style="0" customWidth="1"/>
    <col min="15" max="16384" width="9.140625" style="15" customWidth="1"/>
  </cols>
  <sheetData>
    <row r="1" spans="1:14" ht="18.75">
      <c r="A1" s="338" t="s">
        <v>686</v>
      </c>
      <c r="B1" s="338"/>
      <c r="E1" s="322"/>
      <c r="F1" s="79"/>
      <c r="G1" s="79"/>
      <c r="H1" s="322"/>
      <c r="I1" s="322"/>
      <c r="J1" s="79"/>
      <c r="K1" s="79"/>
      <c r="L1" s="79"/>
      <c r="M1" s="15"/>
      <c r="N1" s="15"/>
    </row>
    <row r="2" spans="1:14" ht="18.75">
      <c r="A2" s="338"/>
      <c r="B2" s="338"/>
      <c r="E2" s="322"/>
      <c r="F2" s="79"/>
      <c r="G2" s="79"/>
      <c r="H2" s="322"/>
      <c r="I2" s="322"/>
      <c r="J2" s="79"/>
      <c r="K2" s="79"/>
      <c r="L2" s="79"/>
      <c r="M2" s="15"/>
      <c r="N2" s="15"/>
    </row>
    <row r="3" spans="3:14" ht="15">
      <c r="C3" s="15"/>
      <c r="E3" s="323" t="s">
        <v>214</v>
      </c>
      <c r="F3" s="81" t="s">
        <v>217</v>
      </c>
      <c r="G3" s="81"/>
      <c r="H3" s="323" t="s">
        <v>214</v>
      </c>
      <c r="I3" s="371" t="s">
        <v>491</v>
      </c>
      <c r="J3" s="81" t="s">
        <v>217</v>
      </c>
      <c r="K3" s="81"/>
      <c r="L3" s="81" t="s">
        <v>490</v>
      </c>
      <c r="M3" s="15"/>
      <c r="N3" s="15"/>
    </row>
    <row r="4" spans="1:12" s="80" customFormat="1" ht="15">
      <c r="A4" s="340" t="s">
        <v>227</v>
      </c>
      <c r="B4" s="340"/>
      <c r="E4" s="323" t="s">
        <v>215</v>
      </c>
      <c r="F4" s="81" t="s">
        <v>488</v>
      </c>
      <c r="G4" s="81"/>
      <c r="H4" s="323" t="s">
        <v>215</v>
      </c>
      <c r="I4" s="323" t="s">
        <v>215</v>
      </c>
      <c r="J4" s="81" t="s">
        <v>488</v>
      </c>
      <c r="K4" s="81"/>
      <c r="L4" s="81" t="s">
        <v>227</v>
      </c>
    </row>
    <row r="5" spans="1:14" ht="15">
      <c r="A5" s="123" t="s">
        <v>20</v>
      </c>
      <c r="B5" s="82" t="s">
        <v>17</v>
      </c>
      <c r="C5" s="82" t="s">
        <v>18</v>
      </c>
      <c r="D5" s="82"/>
      <c r="E5" s="81" t="s">
        <v>487</v>
      </c>
      <c r="F5" s="81" t="s">
        <v>487</v>
      </c>
      <c r="G5" s="81"/>
      <c r="H5" s="81" t="s">
        <v>489</v>
      </c>
      <c r="I5" s="81" t="s">
        <v>489</v>
      </c>
      <c r="J5" s="81" t="s">
        <v>489</v>
      </c>
      <c r="K5" s="81"/>
      <c r="L5" s="81" t="s">
        <v>349</v>
      </c>
      <c r="M5" s="80" t="s">
        <v>20</v>
      </c>
      <c r="N5" s="80" t="s">
        <v>216</v>
      </c>
    </row>
    <row r="6" spans="1:17" ht="15">
      <c r="A6" s="341">
        <v>1</v>
      </c>
      <c r="B6" s="296" t="s">
        <v>115</v>
      </c>
      <c r="C6" s="296" t="s">
        <v>552</v>
      </c>
      <c r="D6" s="364"/>
      <c r="E6" s="324">
        <v>0.011226851851851854</v>
      </c>
      <c r="F6" s="356">
        <v>42308</v>
      </c>
      <c r="G6" s="367"/>
      <c r="H6" s="324">
        <v>0.01144675925925926</v>
      </c>
      <c r="I6" s="324">
        <f>+H6*0.95</f>
        <v>0.010874421296296297</v>
      </c>
      <c r="J6" s="356">
        <v>42252</v>
      </c>
      <c r="K6" s="367"/>
      <c r="L6" s="324">
        <f>MIN(I6,E6)</f>
        <v>0.010874421296296297</v>
      </c>
      <c r="M6" s="298">
        <v>1</v>
      </c>
      <c r="N6" s="298">
        <v>30</v>
      </c>
      <c r="O6" s="83"/>
      <c r="P6" s="85"/>
      <c r="Q6" s="86"/>
    </row>
    <row r="7" spans="1:17" ht="15">
      <c r="A7" s="341">
        <f>1+A6</f>
        <v>2</v>
      </c>
      <c r="B7" s="296" t="s">
        <v>309</v>
      </c>
      <c r="C7" s="296" t="s">
        <v>308</v>
      </c>
      <c r="D7" s="364"/>
      <c r="E7" s="324">
        <v>0.011689814814814814</v>
      </c>
      <c r="F7" s="356">
        <v>42273</v>
      </c>
      <c r="G7" s="367"/>
      <c r="H7" s="324">
        <v>0.012233796296296296</v>
      </c>
      <c r="I7" s="324">
        <f>+H7*0.95</f>
        <v>0.011622106481481482</v>
      </c>
      <c r="J7" s="356">
        <v>42224</v>
      </c>
      <c r="K7" s="367"/>
      <c r="L7" s="324">
        <f aca="true" t="shared" si="0" ref="L7:L43">MIN(I7,E7)</f>
        <v>0.011622106481481482</v>
      </c>
      <c r="M7" s="298">
        <v>2</v>
      </c>
      <c r="N7" s="298">
        <v>29</v>
      </c>
      <c r="O7" s="83"/>
      <c r="P7" s="85"/>
      <c r="Q7" s="86"/>
    </row>
    <row r="8" spans="1:17" ht="15">
      <c r="A8" s="341">
        <f aca="true" t="shared" si="1" ref="A8:A71">1+A7</f>
        <v>3</v>
      </c>
      <c r="B8" s="296" t="s">
        <v>427</v>
      </c>
      <c r="C8" s="296" t="s">
        <v>426</v>
      </c>
      <c r="D8" s="364"/>
      <c r="E8" s="324">
        <v>0.011979166666666666</v>
      </c>
      <c r="F8" s="356">
        <v>42147</v>
      </c>
      <c r="G8" s="367"/>
      <c r="H8" s="324">
        <v>0.012638888888888889</v>
      </c>
      <c r="I8" s="324">
        <f>+H8*0.95</f>
        <v>0.012006944444444443</v>
      </c>
      <c r="J8" s="356">
        <v>42238</v>
      </c>
      <c r="K8" s="367"/>
      <c r="L8" s="324">
        <f t="shared" si="0"/>
        <v>0.011979166666666666</v>
      </c>
      <c r="M8" s="298">
        <v>3</v>
      </c>
      <c r="N8" s="298">
        <v>28</v>
      </c>
      <c r="O8" s="83"/>
      <c r="P8" s="85"/>
      <c r="Q8" s="86"/>
    </row>
    <row r="9" spans="1:15" ht="15">
      <c r="A9" s="341">
        <f t="shared" si="1"/>
        <v>4</v>
      </c>
      <c r="B9" t="s">
        <v>523</v>
      </c>
      <c r="C9" t="s">
        <v>524</v>
      </c>
      <c r="E9" s="232">
        <v>0.012060185185185186</v>
      </c>
      <c r="F9" s="245">
        <v>42224</v>
      </c>
      <c r="J9" s="245"/>
      <c r="K9" s="366"/>
      <c r="L9" s="363">
        <f t="shared" si="0"/>
        <v>0.012060185185185186</v>
      </c>
      <c r="O9" s="83"/>
    </row>
    <row r="10" spans="1:15" ht="15">
      <c r="A10" s="341">
        <f t="shared" si="1"/>
        <v>5</v>
      </c>
      <c r="B10" t="s">
        <v>255</v>
      </c>
      <c r="C10" t="s">
        <v>486</v>
      </c>
      <c r="E10" s="232">
        <v>0.012083333333333333</v>
      </c>
      <c r="F10" s="245">
        <v>42322</v>
      </c>
      <c r="H10" s="232">
        <v>0.013391203703703704</v>
      </c>
      <c r="I10" s="232">
        <f>+H10*0.95</f>
        <v>0.012721643518518518</v>
      </c>
      <c r="J10" s="245">
        <v>42112</v>
      </c>
      <c r="K10" s="366"/>
      <c r="L10" s="363">
        <f>MIN(I10,E10)</f>
        <v>0.012083333333333333</v>
      </c>
      <c r="O10" s="83"/>
    </row>
    <row r="11" spans="1:17" ht="15">
      <c r="A11" s="341">
        <f t="shared" si="1"/>
        <v>6</v>
      </c>
      <c r="B11" s="296" t="s">
        <v>31</v>
      </c>
      <c r="C11" s="296" t="s">
        <v>310</v>
      </c>
      <c r="D11" s="364"/>
      <c r="E11" s="324">
        <v>0.012094907407407408</v>
      </c>
      <c r="F11" s="356">
        <v>42294</v>
      </c>
      <c r="G11" s="367"/>
      <c r="H11" s="324">
        <v>0.012766203703703703</v>
      </c>
      <c r="I11" s="324">
        <f>+H11*0.95</f>
        <v>0.012127893518518517</v>
      </c>
      <c r="J11" s="356">
        <v>42273</v>
      </c>
      <c r="K11" s="367"/>
      <c r="L11" s="324">
        <f t="shared" si="0"/>
        <v>0.012094907407407408</v>
      </c>
      <c r="M11" s="298">
        <v>4</v>
      </c>
      <c r="N11" s="298">
        <v>27</v>
      </c>
      <c r="O11" s="83"/>
      <c r="P11" s="85"/>
      <c r="Q11" s="86"/>
    </row>
    <row r="12" spans="1:17" ht="15">
      <c r="A12" s="341">
        <f t="shared" si="1"/>
        <v>7</v>
      </c>
      <c r="B12" s="296" t="s">
        <v>218</v>
      </c>
      <c r="C12" s="296" t="s">
        <v>30</v>
      </c>
      <c r="D12" s="364"/>
      <c r="E12" s="324">
        <v>0.012430555555555554</v>
      </c>
      <c r="F12" s="356">
        <v>42329</v>
      </c>
      <c r="G12" s="367"/>
      <c r="H12" s="324"/>
      <c r="I12" s="324"/>
      <c r="J12" s="356"/>
      <c r="K12" s="367"/>
      <c r="L12" s="324">
        <f>MIN(I12,E12)</f>
        <v>0.012430555555555554</v>
      </c>
      <c r="M12" s="298">
        <v>5</v>
      </c>
      <c r="N12" s="298">
        <v>26</v>
      </c>
      <c r="O12" s="83"/>
      <c r="P12" s="85"/>
      <c r="Q12" s="86"/>
    </row>
    <row r="13" spans="1:15" ht="15">
      <c r="A13" s="341">
        <f t="shared" si="1"/>
        <v>8</v>
      </c>
      <c r="B13" t="s">
        <v>651</v>
      </c>
      <c r="C13" t="s">
        <v>512</v>
      </c>
      <c r="E13" s="232">
        <v>0.01244212962962963</v>
      </c>
      <c r="F13" s="245">
        <v>42350</v>
      </c>
      <c r="J13" s="245"/>
      <c r="K13" s="366"/>
      <c r="L13" s="363">
        <f>MIN(I13,E13)</f>
        <v>0.01244212962962963</v>
      </c>
      <c r="O13" s="83"/>
    </row>
    <row r="14" spans="1:17" ht="15">
      <c r="A14" s="341">
        <f t="shared" si="1"/>
        <v>9</v>
      </c>
      <c r="B14" s="296" t="s">
        <v>31</v>
      </c>
      <c r="C14" s="296" t="s">
        <v>32</v>
      </c>
      <c r="D14" s="364"/>
      <c r="E14" s="324">
        <v>0.012511574074074073</v>
      </c>
      <c r="F14" s="356">
        <v>42238</v>
      </c>
      <c r="G14" s="367"/>
      <c r="H14" s="324"/>
      <c r="I14" s="324"/>
      <c r="J14" s="356"/>
      <c r="K14" s="367"/>
      <c r="L14" s="324">
        <f>MIN(I14,E14)</f>
        <v>0.012511574074074073</v>
      </c>
      <c r="M14" s="298">
        <v>6</v>
      </c>
      <c r="N14" s="298">
        <v>25</v>
      </c>
      <c r="O14" s="83"/>
      <c r="P14" s="85"/>
      <c r="Q14" s="86"/>
    </row>
    <row r="15" spans="1:17" ht="15">
      <c r="A15" s="341">
        <f t="shared" si="1"/>
        <v>10</v>
      </c>
      <c r="B15" s="296" t="s">
        <v>408</v>
      </c>
      <c r="C15" s="296" t="s">
        <v>420</v>
      </c>
      <c r="D15" s="364"/>
      <c r="E15" s="324">
        <v>0.012534722222222221</v>
      </c>
      <c r="F15" s="356">
        <v>42084</v>
      </c>
      <c r="G15" s="367"/>
      <c r="H15" s="324">
        <v>0.013449074074074073</v>
      </c>
      <c r="I15" s="324">
        <f>+H15*0.95</f>
        <v>0.012776620370370369</v>
      </c>
      <c r="J15" s="356">
        <v>42252</v>
      </c>
      <c r="K15" s="367"/>
      <c r="L15" s="324">
        <f t="shared" si="0"/>
        <v>0.012534722222222221</v>
      </c>
      <c r="M15" s="298">
        <v>7</v>
      </c>
      <c r="N15" s="298">
        <v>24</v>
      </c>
      <c r="O15" s="83"/>
      <c r="P15" s="85"/>
      <c r="Q15" s="86"/>
    </row>
    <row r="16" spans="1:17" ht="15">
      <c r="A16" s="341">
        <f t="shared" si="1"/>
        <v>11</v>
      </c>
      <c r="B16" s="296" t="s">
        <v>54</v>
      </c>
      <c r="C16" s="296" t="s">
        <v>377</v>
      </c>
      <c r="D16" s="364"/>
      <c r="E16" s="324">
        <v>0.01258101851851852</v>
      </c>
      <c r="F16" s="356">
        <v>42280</v>
      </c>
      <c r="G16" s="367"/>
      <c r="H16" s="324"/>
      <c r="I16" s="324"/>
      <c r="J16" s="356"/>
      <c r="K16" s="367"/>
      <c r="L16" s="324">
        <f>MIN(I16,E16)</f>
        <v>0.01258101851851852</v>
      </c>
      <c r="M16" s="389">
        <v>8</v>
      </c>
      <c r="N16" s="298">
        <v>23</v>
      </c>
      <c r="O16" s="83"/>
      <c r="P16" s="85"/>
      <c r="Q16" s="86"/>
    </row>
    <row r="17" spans="1:17" ht="15">
      <c r="A17" s="341">
        <f t="shared" si="1"/>
        <v>12</v>
      </c>
      <c r="B17" s="296" t="s">
        <v>218</v>
      </c>
      <c r="C17" s="296" t="s">
        <v>232</v>
      </c>
      <c r="D17" s="364"/>
      <c r="E17" s="324">
        <v>0.012708333333333334</v>
      </c>
      <c r="F17" s="356">
        <v>42175</v>
      </c>
      <c r="G17" s="367"/>
      <c r="H17" s="324"/>
      <c r="I17" s="324"/>
      <c r="J17" s="356"/>
      <c r="K17" s="367"/>
      <c r="L17" s="324">
        <f t="shared" si="0"/>
        <v>0.012708333333333334</v>
      </c>
      <c r="M17" s="389">
        <v>9</v>
      </c>
      <c r="N17" s="298">
        <v>22</v>
      </c>
      <c r="O17" s="83"/>
      <c r="P17" s="85"/>
      <c r="Q17" s="86"/>
    </row>
    <row r="18" spans="1:17" ht="15">
      <c r="A18" s="341">
        <f t="shared" si="1"/>
        <v>13</v>
      </c>
      <c r="B18" s="296" t="s">
        <v>52</v>
      </c>
      <c r="C18" s="296" t="s">
        <v>274</v>
      </c>
      <c r="D18" s="364"/>
      <c r="E18" s="324">
        <v>0.012766203703703703</v>
      </c>
      <c r="F18" s="356">
        <v>42273</v>
      </c>
      <c r="G18" s="367"/>
      <c r="H18" s="324"/>
      <c r="I18" s="324"/>
      <c r="J18" s="356"/>
      <c r="K18" s="367"/>
      <c r="L18" s="324">
        <f>MIN(I18,E18)</f>
        <v>0.012766203703703703</v>
      </c>
      <c r="M18" s="298">
        <v>10</v>
      </c>
      <c r="N18" s="298">
        <v>21</v>
      </c>
      <c r="O18" s="83"/>
      <c r="P18" s="85"/>
      <c r="Q18" s="86"/>
    </row>
    <row r="19" spans="1:17" ht="15">
      <c r="A19" s="341">
        <f t="shared" si="1"/>
        <v>14</v>
      </c>
      <c r="B19" s="296" t="s">
        <v>311</v>
      </c>
      <c r="C19" s="296" t="s">
        <v>38</v>
      </c>
      <c r="D19" s="364"/>
      <c r="E19" s="324">
        <v>0.0128125</v>
      </c>
      <c r="F19" s="356">
        <v>42049</v>
      </c>
      <c r="G19" s="367"/>
      <c r="H19" s="324"/>
      <c r="I19" s="324"/>
      <c r="J19" s="356"/>
      <c r="K19" s="367"/>
      <c r="L19" s="324">
        <f t="shared" si="0"/>
        <v>0.0128125</v>
      </c>
      <c r="M19" s="298">
        <v>11</v>
      </c>
      <c r="N19" s="298">
        <v>20</v>
      </c>
      <c r="O19" s="83"/>
      <c r="P19" s="85"/>
      <c r="Q19" s="86"/>
    </row>
    <row r="20" spans="1:16" ht="15">
      <c r="A20" s="341">
        <f t="shared" si="1"/>
        <v>15</v>
      </c>
      <c r="B20" t="s">
        <v>317</v>
      </c>
      <c r="C20" t="s">
        <v>428</v>
      </c>
      <c r="D20" s="15"/>
      <c r="E20" s="232">
        <v>0.01289351851851852</v>
      </c>
      <c r="F20" s="245">
        <v>42161</v>
      </c>
      <c r="G20" s="366"/>
      <c r="J20" s="245"/>
      <c r="K20" s="366"/>
      <c r="L20" s="363">
        <f t="shared" si="0"/>
        <v>0.01289351851851852</v>
      </c>
      <c r="M20" s="231"/>
      <c r="O20" s="83"/>
      <c r="P20" s="233"/>
    </row>
    <row r="21" spans="1:17" ht="15">
      <c r="A21" s="341">
        <f t="shared" si="1"/>
        <v>16</v>
      </c>
      <c r="B21" s="296" t="s">
        <v>403</v>
      </c>
      <c r="C21" s="296" t="s">
        <v>51</v>
      </c>
      <c r="D21" s="364"/>
      <c r="E21" s="324">
        <v>0.013078703703703703</v>
      </c>
      <c r="F21" s="356">
        <v>42224</v>
      </c>
      <c r="G21" s="367"/>
      <c r="H21" s="324"/>
      <c r="I21" s="324"/>
      <c r="J21" s="356"/>
      <c r="K21" s="367"/>
      <c r="L21" s="324">
        <f t="shared" si="0"/>
        <v>0.013078703703703703</v>
      </c>
      <c r="M21" s="389" t="s">
        <v>642</v>
      </c>
      <c r="N21" s="298">
        <v>19</v>
      </c>
      <c r="O21" s="83"/>
      <c r="P21" s="85"/>
      <c r="Q21" s="86"/>
    </row>
    <row r="22" spans="1:17" ht="15">
      <c r="A22" s="341">
        <f t="shared" si="1"/>
        <v>17</v>
      </c>
      <c r="B22" s="296" t="s">
        <v>48</v>
      </c>
      <c r="C22" s="296" t="s">
        <v>49</v>
      </c>
      <c r="D22" s="364"/>
      <c r="E22" s="324"/>
      <c r="F22" s="356"/>
      <c r="G22" s="367"/>
      <c r="H22" s="324">
        <v>0.013773148148148147</v>
      </c>
      <c r="I22" s="324">
        <f>+H22*0.95</f>
        <v>0.013084490740740739</v>
      </c>
      <c r="J22" s="356">
        <v>42224</v>
      </c>
      <c r="K22" s="367"/>
      <c r="L22" s="324">
        <f t="shared" si="0"/>
        <v>0.013084490740740739</v>
      </c>
      <c r="M22" s="389" t="s">
        <v>642</v>
      </c>
      <c r="N22" s="298">
        <v>19</v>
      </c>
      <c r="O22" s="83"/>
      <c r="P22" s="85"/>
      <c r="Q22" s="86"/>
    </row>
    <row r="23" spans="1:24" ht="15">
      <c r="A23" s="341">
        <f t="shared" si="1"/>
        <v>18</v>
      </c>
      <c r="B23" t="s">
        <v>429</v>
      </c>
      <c r="C23" t="s">
        <v>38</v>
      </c>
      <c r="E23" s="232">
        <v>0.013136574074074077</v>
      </c>
      <c r="F23" s="245">
        <v>42063</v>
      </c>
      <c r="G23" s="366"/>
      <c r="J23" s="245"/>
      <c r="K23" s="366"/>
      <c r="L23" s="363">
        <f t="shared" si="0"/>
        <v>0.013136574074074077</v>
      </c>
      <c r="M23" s="231"/>
      <c r="O23" s="83"/>
      <c r="P23" s="233"/>
      <c r="Q23"/>
      <c r="R23"/>
      <c r="S23"/>
      <c r="T23"/>
      <c r="U23"/>
      <c r="V23"/>
      <c r="W23"/>
      <c r="X23"/>
    </row>
    <row r="24" spans="1:16" s="444" customFormat="1" ht="15">
      <c r="A24" s="341">
        <f t="shared" si="1"/>
        <v>19</v>
      </c>
      <c r="B24" s="417" t="s">
        <v>164</v>
      </c>
      <c r="C24" s="417" t="s">
        <v>486</v>
      </c>
      <c r="E24" s="445">
        <v>0.013368055555555557</v>
      </c>
      <c r="F24" s="366">
        <v>42322</v>
      </c>
      <c r="G24" s="366"/>
      <c r="H24" s="445">
        <v>0.013854166666666666</v>
      </c>
      <c r="I24" s="445">
        <f>+H24*0.95</f>
        <v>0.013161458333333332</v>
      </c>
      <c r="J24" s="446">
        <v>42287</v>
      </c>
      <c r="K24" s="446"/>
      <c r="L24" s="445">
        <f>MIN(I24,E24)</f>
        <v>0.013161458333333332</v>
      </c>
      <c r="M24" s="84"/>
      <c r="O24" s="83"/>
      <c r="P24" s="233"/>
    </row>
    <row r="25" spans="1:17" ht="15">
      <c r="A25" s="341">
        <f t="shared" si="1"/>
        <v>20</v>
      </c>
      <c r="B25" s="296" t="s">
        <v>52</v>
      </c>
      <c r="C25" s="296" t="s">
        <v>53</v>
      </c>
      <c r="D25" s="364"/>
      <c r="E25" s="324">
        <v>0.013194444444444444</v>
      </c>
      <c r="F25" s="356">
        <v>42084</v>
      </c>
      <c r="G25" s="367"/>
      <c r="H25" s="324">
        <v>0.0140625</v>
      </c>
      <c r="I25" s="324">
        <f>+H25*0.95</f>
        <v>0.013359375</v>
      </c>
      <c r="J25" s="356">
        <v>42273</v>
      </c>
      <c r="K25" s="367"/>
      <c r="L25" s="324">
        <f t="shared" si="0"/>
        <v>0.013194444444444444</v>
      </c>
      <c r="M25" s="298">
        <v>14</v>
      </c>
      <c r="N25" s="298">
        <v>17</v>
      </c>
      <c r="O25" s="83"/>
      <c r="P25" s="85"/>
      <c r="Q25" s="86"/>
    </row>
    <row r="26" spans="1:17" ht="15">
      <c r="A26" s="341">
        <f t="shared" si="1"/>
        <v>21</v>
      </c>
      <c r="B26" s="304" t="s">
        <v>69</v>
      </c>
      <c r="C26" s="304" t="s">
        <v>70</v>
      </c>
      <c r="D26" s="365"/>
      <c r="E26" s="325">
        <v>0.01347222222222222</v>
      </c>
      <c r="F26" s="357">
        <v>42273</v>
      </c>
      <c r="G26" s="368"/>
      <c r="H26" s="325">
        <v>0.014131944444444445</v>
      </c>
      <c r="I26" s="325">
        <f>+H26*0.95</f>
        <v>0.013425347222222222</v>
      </c>
      <c r="J26" s="357">
        <v>42252</v>
      </c>
      <c r="K26" s="368"/>
      <c r="L26" s="325">
        <f>MIN(I26,E26)</f>
        <v>0.013425347222222222</v>
      </c>
      <c r="M26" s="306">
        <v>4</v>
      </c>
      <c r="N26" s="306">
        <v>27</v>
      </c>
      <c r="O26" s="83"/>
      <c r="P26" s="85"/>
      <c r="Q26" s="86"/>
    </row>
    <row r="27" spans="1:24" ht="15">
      <c r="A27" s="341">
        <f t="shared" si="1"/>
        <v>22</v>
      </c>
      <c r="B27" t="s">
        <v>176</v>
      </c>
      <c r="C27" t="s">
        <v>402</v>
      </c>
      <c r="E27" s="232">
        <v>0.01357638888888889</v>
      </c>
      <c r="F27" s="245">
        <v>42210</v>
      </c>
      <c r="G27" s="366"/>
      <c r="J27" s="245"/>
      <c r="K27" s="366"/>
      <c r="L27" s="363">
        <f t="shared" si="0"/>
        <v>0.01357638888888889</v>
      </c>
      <c r="M27" s="231"/>
      <c r="O27" s="83"/>
      <c r="P27" s="233"/>
      <c r="Q27"/>
      <c r="R27"/>
      <c r="S27"/>
      <c r="T27"/>
      <c r="U27"/>
      <c r="V27"/>
      <c r="W27"/>
      <c r="X27"/>
    </row>
    <row r="28" spans="1:17" ht="15">
      <c r="A28" s="341">
        <f t="shared" si="1"/>
        <v>23</v>
      </c>
      <c r="B28" s="304" t="s">
        <v>258</v>
      </c>
      <c r="C28" s="304" t="s">
        <v>257</v>
      </c>
      <c r="D28" s="365"/>
      <c r="E28" s="325">
        <v>0.013587962962962963</v>
      </c>
      <c r="F28" s="357">
        <v>42168</v>
      </c>
      <c r="G28" s="368"/>
      <c r="H28" s="325"/>
      <c r="I28" s="325"/>
      <c r="J28" s="357"/>
      <c r="K28" s="368"/>
      <c r="L28" s="325">
        <f t="shared" si="0"/>
        <v>0.013587962962962963</v>
      </c>
      <c r="M28" s="306">
        <v>1</v>
      </c>
      <c r="N28" s="306">
        <v>30</v>
      </c>
      <c r="O28" s="83"/>
      <c r="P28" s="85"/>
      <c r="Q28" s="86"/>
    </row>
    <row r="29" spans="1:17" ht="15">
      <c r="A29" s="341">
        <f t="shared" si="1"/>
        <v>24</v>
      </c>
      <c r="B29" s="300" t="s">
        <v>243</v>
      </c>
      <c r="C29" s="300" t="s">
        <v>275</v>
      </c>
      <c r="E29" s="326">
        <v>0.013634259259259257</v>
      </c>
      <c r="F29" s="358">
        <v>42217</v>
      </c>
      <c r="G29" s="369"/>
      <c r="H29" s="326"/>
      <c r="I29" s="326"/>
      <c r="J29" s="358"/>
      <c r="K29" s="369"/>
      <c r="L29" s="326">
        <f t="shared" si="0"/>
        <v>0.013634259259259257</v>
      </c>
      <c r="M29" s="302">
        <v>1</v>
      </c>
      <c r="N29" s="302">
        <v>30</v>
      </c>
      <c r="O29" s="83"/>
      <c r="P29" s="85"/>
      <c r="Q29" s="86"/>
    </row>
    <row r="30" spans="1:17" ht="15">
      <c r="A30" s="341">
        <f t="shared" si="1"/>
        <v>25</v>
      </c>
      <c r="B30" s="304" t="s">
        <v>408</v>
      </c>
      <c r="C30" s="304" t="s">
        <v>441</v>
      </c>
      <c r="D30" s="365"/>
      <c r="E30" s="325"/>
      <c r="F30" s="357"/>
      <c r="G30" s="368"/>
      <c r="H30" s="325">
        <v>0.014363425925925925</v>
      </c>
      <c r="I30" s="325">
        <f>+H30*0.95</f>
        <v>0.013645254629629629</v>
      </c>
      <c r="J30" s="357">
        <v>42231</v>
      </c>
      <c r="K30" s="368"/>
      <c r="L30" s="325">
        <f t="shared" si="0"/>
        <v>0.013645254629629629</v>
      </c>
      <c r="M30" s="306">
        <v>2</v>
      </c>
      <c r="N30" s="306">
        <v>29</v>
      </c>
      <c r="O30" s="83"/>
      <c r="P30" s="85"/>
      <c r="Q30" s="86"/>
    </row>
    <row r="31" spans="1:17" ht="15">
      <c r="A31" s="341">
        <f t="shared" si="1"/>
        <v>26</v>
      </c>
      <c r="B31" s="304" t="s">
        <v>219</v>
      </c>
      <c r="C31" s="304" t="s">
        <v>388</v>
      </c>
      <c r="D31" s="365"/>
      <c r="E31" s="325">
        <v>0.013738425925925926</v>
      </c>
      <c r="F31" s="357">
        <v>42238</v>
      </c>
      <c r="G31" s="368"/>
      <c r="H31" s="325">
        <v>0.014525462962962964</v>
      </c>
      <c r="I31" s="325">
        <f>+H31*0.95</f>
        <v>0.013799189814814814</v>
      </c>
      <c r="J31" s="357">
        <v>42224</v>
      </c>
      <c r="K31" s="368"/>
      <c r="L31" s="325">
        <f t="shared" si="0"/>
        <v>0.013738425925925926</v>
      </c>
      <c r="M31" s="306">
        <v>3</v>
      </c>
      <c r="N31" s="306">
        <v>28</v>
      </c>
      <c r="O31" s="83"/>
      <c r="P31" s="85"/>
      <c r="Q31" s="86"/>
    </row>
    <row r="32" spans="1:17" ht="15">
      <c r="A32" s="341">
        <f t="shared" si="1"/>
        <v>27</v>
      </c>
      <c r="B32" s="304" t="s">
        <v>438</v>
      </c>
      <c r="C32" s="304" t="s">
        <v>93</v>
      </c>
      <c r="D32" s="365"/>
      <c r="E32" s="325">
        <v>0.014282407407407409</v>
      </c>
      <c r="F32" s="357">
        <v>42252</v>
      </c>
      <c r="G32" s="368"/>
      <c r="H32" s="325">
        <v>0.014641203703703703</v>
      </c>
      <c r="I32" s="325">
        <f>+H32*0.95</f>
        <v>0.013909143518518517</v>
      </c>
      <c r="J32" s="357">
        <v>42238</v>
      </c>
      <c r="K32" s="368"/>
      <c r="L32" s="325">
        <f>MIN(I32,E32)</f>
        <v>0.013909143518518517</v>
      </c>
      <c r="M32" s="306">
        <v>5</v>
      </c>
      <c r="N32" s="306">
        <v>26</v>
      </c>
      <c r="O32" s="83"/>
      <c r="P32" s="85"/>
      <c r="Q32" s="86"/>
    </row>
    <row r="33" spans="1:24" ht="15">
      <c r="A33" s="341">
        <f t="shared" si="1"/>
        <v>28</v>
      </c>
      <c r="B33" t="s">
        <v>31</v>
      </c>
      <c r="C33" t="s">
        <v>312</v>
      </c>
      <c r="E33" s="232">
        <v>0.013935185185185184</v>
      </c>
      <c r="F33" s="245">
        <v>42168</v>
      </c>
      <c r="G33" s="366"/>
      <c r="H33" s="232">
        <v>0.015636574074074074</v>
      </c>
      <c r="I33" s="232">
        <f aca="true" t="shared" si="2" ref="I33:I42">+H33*0.95</f>
        <v>0.014854745370370369</v>
      </c>
      <c r="J33" s="245">
        <v>42070</v>
      </c>
      <c r="K33" s="366"/>
      <c r="L33" s="363">
        <f t="shared" si="0"/>
        <v>0.013935185185185184</v>
      </c>
      <c r="M33" s="231"/>
      <c r="O33" s="83"/>
      <c r="P33" s="233"/>
      <c r="Q33"/>
      <c r="R33"/>
      <c r="S33"/>
      <c r="T33"/>
      <c r="U33"/>
      <c r="V33"/>
      <c r="W33"/>
      <c r="X33"/>
    </row>
    <row r="34" spans="1:17" ht="15">
      <c r="A34" s="341">
        <f t="shared" si="1"/>
        <v>29</v>
      </c>
      <c r="B34" s="304" t="s">
        <v>113</v>
      </c>
      <c r="C34" s="304" t="s">
        <v>114</v>
      </c>
      <c r="D34" s="365"/>
      <c r="E34" s="325">
        <v>0.013969907407407408</v>
      </c>
      <c r="F34" s="357">
        <v>42350</v>
      </c>
      <c r="G34" s="368"/>
      <c r="H34" s="325">
        <v>0.014895833333333332</v>
      </c>
      <c r="I34" s="325">
        <f>+H34*0.95</f>
        <v>0.014151041666666664</v>
      </c>
      <c r="J34" s="357">
        <v>42140</v>
      </c>
      <c r="K34" s="368"/>
      <c r="L34" s="325">
        <f>MIN(I34,E34)</f>
        <v>0.013969907407407408</v>
      </c>
      <c r="M34" s="373">
        <v>7</v>
      </c>
      <c r="N34" s="306">
        <v>24</v>
      </c>
      <c r="O34" s="83"/>
      <c r="P34" s="85"/>
      <c r="Q34" s="86"/>
    </row>
    <row r="35" spans="1:17" ht="15">
      <c r="A35" s="341">
        <f t="shared" si="1"/>
        <v>30</v>
      </c>
      <c r="B35" s="304" t="s">
        <v>67</v>
      </c>
      <c r="C35" s="304" t="s">
        <v>68</v>
      </c>
      <c r="D35" s="365"/>
      <c r="E35" s="325"/>
      <c r="F35" s="357"/>
      <c r="G35" s="368"/>
      <c r="H35" s="325">
        <v>0.014722222222222222</v>
      </c>
      <c r="I35" s="325">
        <f t="shared" si="2"/>
        <v>0.01398611111111111</v>
      </c>
      <c r="J35" s="357">
        <v>42238</v>
      </c>
      <c r="K35" s="368"/>
      <c r="L35" s="325">
        <f t="shared" si="0"/>
        <v>0.01398611111111111</v>
      </c>
      <c r="M35" s="373">
        <v>6</v>
      </c>
      <c r="N35" s="306">
        <v>25</v>
      </c>
      <c r="O35" s="83"/>
      <c r="P35" s="85"/>
      <c r="Q35" s="86"/>
    </row>
    <row r="36" spans="1:24" ht="15">
      <c r="A36" s="341">
        <f t="shared" si="1"/>
        <v>31</v>
      </c>
      <c r="B36" t="s">
        <v>518</v>
      </c>
      <c r="C36" t="s">
        <v>535</v>
      </c>
      <c r="E36" s="232">
        <v>0.013993055555555555</v>
      </c>
      <c r="F36" s="245">
        <v>42259</v>
      </c>
      <c r="G36" s="366"/>
      <c r="J36" s="245"/>
      <c r="K36" s="366"/>
      <c r="L36" s="363">
        <f>MIN(I36,E36)</f>
        <v>0.013993055555555555</v>
      </c>
      <c r="M36" s="231"/>
      <c r="O36" s="83"/>
      <c r="P36" s="233"/>
      <c r="Q36"/>
      <c r="R36"/>
      <c r="S36"/>
      <c r="T36"/>
      <c r="U36"/>
      <c r="V36"/>
      <c r="W36"/>
      <c r="X36"/>
    </row>
    <row r="37" spans="1:17" ht="15">
      <c r="A37" s="341">
        <f t="shared" si="1"/>
        <v>32</v>
      </c>
      <c r="B37" s="304" t="s">
        <v>63</v>
      </c>
      <c r="C37" s="304" t="s">
        <v>64</v>
      </c>
      <c r="D37" s="365"/>
      <c r="E37" s="325"/>
      <c r="F37" s="357"/>
      <c r="G37" s="368"/>
      <c r="H37" s="325">
        <v>0.01486111111111111</v>
      </c>
      <c r="I37" s="325">
        <f t="shared" si="2"/>
        <v>0.014118055555555554</v>
      </c>
      <c r="J37" s="357">
        <v>42098</v>
      </c>
      <c r="K37" s="368"/>
      <c r="L37" s="325">
        <f t="shared" si="0"/>
        <v>0.014118055555555554</v>
      </c>
      <c r="M37" s="306">
        <v>8</v>
      </c>
      <c r="N37" s="306">
        <v>23</v>
      </c>
      <c r="O37" s="83"/>
      <c r="P37" s="85"/>
      <c r="Q37" s="86"/>
    </row>
    <row r="38" spans="1:17" ht="15">
      <c r="A38" s="341">
        <f t="shared" si="1"/>
        <v>33</v>
      </c>
      <c r="B38" s="304" t="s">
        <v>406</v>
      </c>
      <c r="C38" s="304" t="s">
        <v>582</v>
      </c>
      <c r="D38" s="365"/>
      <c r="E38" s="325">
        <v>0.014675925925925926</v>
      </c>
      <c r="F38" s="357">
        <v>42217</v>
      </c>
      <c r="G38" s="368"/>
      <c r="H38" s="325">
        <v>0.014976851851851852</v>
      </c>
      <c r="I38" s="325">
        <f t="shared" si="2"/>
        <v>0.01422800925925926</v>
      </c>
      <c r="J38" s="357">
        <v>42224</v>
      </c>
      <c r="K38" s="368"/>
      <c r="L38" s="325">
        <f t="shared" si="0"/>
        <v>0.01422800925925926</v>
      </c>
      <c r="M38" s="306">
        <v>9</v>
      </c>
      <c r="N38" s="306">
        <v>22</v>
      </c>
      <c r="O38" s="83"/>
      <c r="P38" s="85"/>
      <c r="Q38" s="86"/>
    </row>
    <row r="39" spans="1:17" ht="15">
      <c r="A39" s="341">
        <f t="shared" si="1"/>
        <v>34</v>
      </c>
      <c r="B39" s="300" t="s">
        <v>219</v>
      </c>
      <c r="C39" s="300" t="s">
        <v>241</v>
      </c>
      <c r="E39" s="326">
        <v>0.014340277777777776</v>
      </c>
      <c r="F39" s="358">
        <v>42273</v>
      </c>
      <c r="G39" s="369"/>
      <c r="H39" s="326">
        <v>0.015</v>
      </c>
      <c r="I39" s="326">
        <f>+H39*0.95</f>
        <v>0.014249999999999999</v>
      </c>
      <c r="J39" s="358">
        <v>42308</v>
      </c>
      <c r="K39" s="369"/>
      <c r="L39" s="326">
        <f>MIN(I39,E39)</f>
        <v>0.014249999999999999</v>
      </c>
      <c r="M39" s="422">
        <v>2</v>
      </c>
      <c r="N39" s="302">
        <v>29</v>
      </c>
      <c r="O39" s="83"/>
      <c r="P39" s="85"/>
      <c r="Q39" s="86"/>
    </row>
    <row r="40" spans="1:24" ht="15">
      <c r="A40" s="341">
        <f t="shared" si="1"/>
        <v>35</v>
      </c>
      <c r="B40" t="s">
        <v>218</v>
      </c>
      <c r="C40" t="s">
        <v>313</v>
      </c>
      <c r="E40" s="232">
        <v>0.014710648148148148</v>
      </c>
      <c r="F40" s="245">
        <v>42308</v>
      </c>
      <c r="G40" s="366"/>
      <c r="H40" s="232">
        <v>0.015046296296296295</v>
      </c>
      <c r="I40" s="232">
        <f>+H40*0.95</f>
        <v>0.01429398148148148</v>
      </c>
      <c r="J40" s="245">
        <v>42273</v>
      </c>
      <c r="K40" s="366"/>
      <c r="L40" s="363">
        <f>MIN(I40,E40)</f>
        <v>0.01429398148148148</v>
      </c>
      <c r="M40" s="231"/>
      <c r="O40" s="83"/>
      <c r="P40" s="233"/>
      <c r="Q40"/>
      <c r="R40"/>
      <c r="S40"/>
      <c r="T40"/>
      <c r="U40"/>
      <c r="V40"/>
      <c r="W40"/>
      <c r="X40"/>
    </row>
    <row r="41" spans="1:17" ht="15">
      <c r="A41" s="341">
        <f t="shared" si="1"/>
        <v>36</v>
      </c>
      <c r="B41" s="308" t="s">
        <v>219</v>
      </c>
      <c r="C41" s="308" t="s">
        <v>556</v>
      </c>
      <c r="E41" s="327">
        <v>0.014317129629629631</v>
      </c>
      <c r="F41" s="359">
        <v>42273</v>
      </c>
      <c r="G41" s="369"/>
      <c r="H41" s="327"/>
      <c r="I41" s="327"/>
      <c r="J41" s="359"/>
      <c r="K41" s="369"/>
      <c r="L41" s="327">
        <f>MIN(I41,E41)</f>
        <v>0.014317129629629631</v>
      </c>
      <c r="M41" s="337">
        <v>1</v>
      </c>
      <c r="N41" s="310">
        <v>30</v>
      </c>
      <c r="O41" s="83"/>
      <c r="P41" s="85"/>
      <c r="Q41" s="86"/>
    </row>
    <row r="42" spans="1:17" ht="15">
      <c r="A42" s="341">
        <f t="shared" si="1"/>
        <v>37</v>
      </c>
      <c r="B42" s="300" t="s">
        <v>115</v>
      </c>
      <c r="C42" s="300" t="s">
        <v>116</v>
      </c>
      <c r="E42" s="326">
        <v>0.014444444444444446</v>
      </c>
      <c r="F42" s="358">
        <v>42147</v>
      </c>
      <c r="G42" s="369"/>
      <c r="H42" s="326">
        <v>0.015092592592592593</v>
      </c>
      <c r="I42" s="326">
        <f t="shared" si="2"/>
        <v>0.014337962962962962</v>
      </c>
      <c r="J42" s="358">
        <v>42189</v>
      </c>
      <c r="K42" s="369"/>
      <c r="L42" s="326">
        <f t="shared" si="0"/>
        <v>0.014337962962962962</v>
      </c>
      <c r="M42" s="422">
        <v>3</v>
      </c>
      <c r="N42" s="302">
        <v>28</v>
      </c>
      <c r="O42" s="83"/>
      <c r="P42" s="85"/>
      <c r="Q42" s="86"/>
    </row>
    <row r="43" spans="1:17" ht="15">
      <c r="A43" s="341">
        <f t="shared" si="1"/>
        <v>38</v>
      </c>
      <c r="B43" s="304" t="s">
        <v>73</v>
      </c>
      <c r="C43" s="304" t="s">
        <v>74</v>
      </c>
      <c r="D43" s="365"/>
      <c r="E43" s="325">
        <v>0.014375</v>
      </c>
      <c r="F43" s="357">
        <v>42147</v>
      </c>
      <c r="G43" s="368"/>
      <c r="H43" s="325"/>
      <c r="I43" s="325"/>
      <c r="J43" s="357"/>
      <c r="K43" s="368"/>
      <c r="L43" s="325">
        <f t="shared" si="0"/>
        <v>0.014375</v>
      </c>
      <c r="M43" s="306">
        <v>10</v>
      </c>
      <c r="N43" s="306">
        <v>21</v>
      </c>
      <c r="O43" s="83"/>
      <c r="P43" s="85"/>
      <c r="Q43" s="86"/>
    </row>
    <row r="44" spans="1:17" ht="15">
      <c r="A44" s="341">
        <f t="shared" si="1"/>
        <v>39</v>
      </c>
      <c r="B44" s="308" t="s">
        <v>224</v>
      </c>
      <c r="C44" s="308" t="s">
        <v>38</v>
      </c>
      <c r="E44" s="327">
        <v>0.014432870370370372</v>
      </c>
      <c r="F44" s="359">
        <v>42273</v>
      </c>
      <c r="G44" s="369"/>
      <c r="H44" s="327"/>
      <c r="I44" s="327"/>
      <c r="J44" s="359"/>
      <c r="K44" s="369"/>
      <c r="L44" s="327">
        <f>MIN(I44,E44)</f>
        <v>0.014432870370370372</v>
      </c>
      <c r="M44" s="310">
        <v>2</v>
      </c>
      <c r="N44" s="310">
        <v>29</v>
      </c>
      <c r="O44" s="83"/>
      <c r="P44" s="85"/>
      <c r="Q44" s="86"/>
    </row>
    <row r="45" spans="1:17" ht="15">
      <c r="A45" s="341">
        <f t="shared" si="1"/>
        <v>40</v>
      </c>
      <c r="B45" s="308" t="s">
        <v>276</v>
      </c>
      <c r="C45" s="308" t="s">
        <v>38</v>
      </c>
      <c r="E45" s="327">
        <v>0.014895833333333332</v>
      </c>
      <c r="F45" s="359">
        <v>42210</v>
      </c>
      <c r="G45" s="369"/>
      <c r="H45" s="327">
        <v>0.015300925925925926</v>
      </c>
      <c r="I45" s="327">
        <f aca="true" t="shared" si="3" ref="I45:I50">+H45*0.95</f>
        <v>0.01453587962962963</v>
      </c>
      <c r="J45" s="359">
        <v>42280</v>
      </c>
      <c r="K45" s="369"/>
      <c r="L45" s="327">
        <f>MIN(I45,E45)</f>
        <v>0.01453587962962963</v>
      </c>
      <c r="M45" s="310">
        <v>3</v>
      </c>
      <c r="N45" s="310">
        <v>28</v>
      </c>
      <c r="O45" s="83"/>
      <c r="P45" s="85"/>
      <c r="Q45" s="86"/>
    </row>
    <row r="46" spans="1:17" ht="15">
      <c r="A46" s="341">
        <f t="shared" si="1"/>
        <v>41</v>
      </c>
      <c r="B46" s="300" t="s">
        <v>63</v>
      </c>
      <c r="C46" s="300" t="s">
        <v>91</v>
      </c>
      <c r="E46" s="326">
        <v>0.014652777777777778</v>
      </c>
      <c r="F46" s="358">
        <v>42245</v>
      </c>
      <c r="G46" s="369"/>
      <c r="H46" s="326">
        <v>0.015659722222222224</v>
      </c>
      <c r="I46" s="326">
        <f t="shared" si="3"/>
        <v>0.014876736111111111</v>
      </c>
      <c r="J46" s="358">
        <v>42322</v>
      </c>
      <c r="K46" s="369"/>
      <c r="L46" s="326">
        <f aca="true" t="shared" si="4" ref="L46:L85">MIN(I46,E46)</f>
        <v>0.014652777777777778</v>
      </c>
      <c r="M46" s="302">
        <v>4</v>
      </c>
      <c r="N46" s="302">
        <v>27</v>
      </c>
      <c r="O46" s="83"/>
      <c r="P46" s="85"/>
      <c r="Q46" s="86"/>
    </row>
    <row r="47" spans="1:17" ht="15">
      <c r="A47" s="341">
        <f t="shared" si="1"/>
        <v>42</v>
      </c>
      <c r="B47" s="304" t="s">
        <v>352</v>
      </c>
      <c r="C47" s="304" t="s">
        <v>90</v>
      </c>
      <c r="D47" s="365"/>
      <c r="E47" s="325"/>
      <c r="F47" s="357"/>
      <c r="G47" s="368"/>
      <c r="H47" s="325">
        <v>0.01545138888888889</v>
      </c>
      <c r="I47" s="325">
        <f t="shared" si="3"/>
        <v>0.014678819444444444</v>
      </c>
      <c r="J47" s="357">
        <v>42308</v>
      </c>
      <c r="K47" s="368"/>
      <c r="L47" s="325">
        <f>MIN(I47,E47)</f>
        <v>0.014678819444444444</v>
      </c>
      <c r="M47" s="306">
        <v>11</v>
      </c>
      <c r="N47" s="306">
        <v>20</v>
      </c>
      <c r="O47" s="83"/>
      <c r="P47" s="85"/>
      <c r="Q47" s="86"/>
    </row>
    <row r="48" spans="1:17" ht="15">
      <c r="A48" s="341">
        <f t="shared" si="1"/>
        <v>43</v>
      </c>
      <c r="B48" s="300" t="s">
        <v>314</v>
      </c>
      <c r="C48" s="300" t="s">
        <v>101</v>
      </c>
      <c r="E48" s="326">
        <v>0.014710648148148148</v>
      </c>
      <c r="F48" s="358">
        <v>42049</v>
      </c>
      <c r="G48" s="369"/>
      <c r="H48" s="326">
        <v>0.015613425925925926</v>
      </c>
      <c r="I48" s="326">
        <f t="shared" si="3"/>
        <v>0.01483275462962963</v>
      </c>
      <c r="J48" s="358">
        <v>42252</v>
      </c>
      <c r="K48" s="369"/>
      <c r="L48" s="326">
        <f t="shared" si="4"/>
        <v>0.014710648148148148</v>
      </c>
      <c r="M48" s="302">
        <v>5</v>
      </c>
      <c r="N48" s="302">
        <v>26</v>
      </c>
      <c r="O48" s="83"/>
      <c r="P48" s="85"/>
      <c r="Q48" s="86"/>
    </row>
    <row r="49" spans="1:17" ht="15">
      <c r="A49" s="341">
        <f t="shared" si="1"/>
        <v>44</v>
      </c>
      <c r="B49" s="300" t="s">
        <v>220</v>
      </c>
      <c r="C49" s="300" t="s">
        <v>354</v>
      </c>
      <c r="E49" s="326">
        <v>0.014745370370370372</v>
      </c>
      <c r="F49" s="358">
        <v>42224</v>
      </c>
      <c r="G49" s="369"/>
      <c r="H49" s="326">
        <v>0.01599537037037037</v>
      </c>
      <c r="I49" s="326">
        <f t="shared" si="3"/>
        <v>0.015195601851851852</v>
      </c>
      <c r="J49" s="358">
        <v>42189</v>
      </c>
      <c r="K49" s="369"/>
      <c r="L49" s="326">
        <f t="shared" si="4"/>
        <v>0.014745370370370372</v>
      </c>
      <c r="M49" s="302">
        <v>6</v>
      </c>
      <c r="N49" s="302">
        <v>25</v>
      </c>
      <c r="O49" s="83"/>
      <c r="P49" s="85"/>
      <c r="Q49" s="86"/>
    </row>
    <row r="50" spans="1:17" ht="15">
      <c r="A50" s="341">
        <f t="shared" si="1"/>
        <v>45</v>
      </c>
      <c r="B50" s="308" t="s">
        <v>218</v>
      </c>
      <c r="C50" s="308" t="s">
        <v>393</v>
      </c>
      <c r="E50" s="327">
        <v>0.01587962962962963</v>
      </c>
      <c r="F50" s="359">
        <v>42350</v>
      </c>
      <c r="G50" s="369"/>
      <c r="H50" s="327">
        <v>0.015555555555555553</v>
      </c>
      <c r="I50" s="327">
        <f t="shared" si="3"/>
        <v>0.014777777777777775</v>
      </c>
      <c r="J50" s="359">
        <v>42315</v>
      </c>
      <c r="K50" s="369"/>
      <c r="L50" s="327">
        <f>MIN(I50,E50)</f>
        <v>0.014777777777777775</v>
      </c>
      <c r="M50" s="310">
        <v>4</v>
      </c>
      <c r="N50" s="310">
        <v>27</v>
      </c>
      <c r="O50" s="83"/>
      <c r="P50" s="85"/>
      <c r="Q50" s="86"/>
    </row>
    <row r="51" spans="1:17" ht="15">
      <c r="A51" s="341">
        <f t="shared" si="1"/>
        <v>46</v>
      </c>
      <c r="B51" s="304" t="s">
        <v>253</v>
      </c>
      <c r="C51" s="304" t="s">
        <v>252</v>
      </c>
      <c r="D51" s="365"/>
      <c r="E51" s="325">
        <v>0.014814814814814814</v>
      </c>
      <c r="F51" s="357">
        <v>42077</v>
      </c>
      <c r="G51" s="368"/>
      <c r="H51" s="325"/>
      <c r="I51" s="325"/>
      <c r="J51" s="357"/>
      <c r="K51" s="368"/>
      <c r="L51" s="325">
        <f t="shared" si="4"/>
        <v>0.014814814814814814</v>
      </c>
      <c r="M51" s="306">
        <v>12</v>
      </c>
      <c r="N51" s="306">
        <v>19</v>
      </c>
      <c r="O51" s="83"/>
      <c r="P51" s="85"/>
      <c r="Q51" s="86"/>
    </row>
    <row r="52" spans="1:17" ht="15">
      <c r="A52" s="341">
        <f t="shared" si="1"/>
        <v>47</v>
      </c>
      <c r="B52" s="308" t="s">
        <v>314</v>
      </c>
      <c r="C52" s="308" t="s">
        <v>238</v>
      </c>
      <c r="D52" s="15"/>
      <c r="E52" s="327">
        <v>0.015208333333333332</v>
      </c>
      <c r="F52" s="359">
        <v>42273</v>
      </c>
      <c r="G52" s="369"/>
      <c r="H52" s="327">
        <v>0.01570601851851852</v>
      </c>
      <c r="I52" s="327">
        <f>+H52*0.95</f>
        <v>0.014920717592592591</v>
      </c>
      <c r="J52" s="359">
        <v>42252</v>
      </c>
      <c r="K52" s="369"/>
      <c r="L52" s="327">
        <f>MIN(I52,E52)</f>
        <v>0.014920717592592591</v>
      </c>
      <c r="M52" s="310">
        <v>5</v>
      </c>
      <c r="N52" s="310">
        <v>26</v>
      </c>
      <c r="O52" s="83"/>
      <c r="P52" s="85"/>
      <c r="Q52" s="86"/>
    </row>
    <row r="53" spans="1:17" ht="15">
      <c r="A53" s="341">
        <f t="shared" si="1"/>
        <v>48</v>
      </c>
      <c r="B53" s="304" t="s">
        <v>187</v>
      </c>
      <c r="C53" s="304" t="s">
        <v>459</v>
      </c>
      <c r="D53" s="365"/>
      <c r="E53" s="325">
        <v>0.014976851851851852</v>
      </c>
      <c r="F53" s="357">
        <v>42105</v>
      </c>
      <c r="G53" s="368"/>
      <c r="H53" s="325">
        <v>0.016168981481481482</v>
      </c>
      <c r="I53" s="325">
        <f>+H53*0.95</f>
        <v>0.015360532407407408</v>
      </c>
      <c r="J53" s="357">
        <v>42343</v>
      </c>
      <c r="K53" s="368"/>
      <c r="L53" s="325">
        <f t="shared" si="4"/>
        <v>0.014976851851851852</v>
      </c>
      <c r="M53" s="306">
        <v>13</v>
      </c>
      <c r="N53" s="306">
        <v>18</v>
      </c>
      <c r="O53" s="83"/>
      <c r="P53" s="85"/>
      <c r="Q53" s="86"/>
    </row>
    <row r="54" spans="1:17" ht="15">
      <c r="A54" s="341">
        <f t="shared" si="1"/>
        <v>49</v>
      </c>
      <c r="B54" s="300" t="s">
        <v>187</v>
      </c>
      <c r="C54" s="300" t="s">
        <v>248</v>
      </c>
      <c r="E54" s="326">
        <v>0.014976851851851852</v>
      </c>
      <c r="F54" s="358">
        <v>42147</v>
      </c>
      <c r="G54" s="369"/>
      <c r="H54" s="326"/>
      <c r="I54" s="326"/>
      <c r="J54" s="358"/>
      <c r="K54" s="369"/>
      <c r="L54" s="326">
        <f t="shared" si="4"/>
        <v>0.014976851851851852</v>
      </c>
      <c r="M54" s="302">
        <v>7</v>
      </c>
      <c r="N54" s="302">
        <v>24</v>
      </c>
      <c r="O54" s="83"/>
      <c r="P54" s="85"/>
      <c r="Q54" s="86"/>
    </row>
    <row r="55" spans="1:17" ht="15">
      <c r="A55" s="341">
        <f t="shared" si="1"/>
        <v>50</v>
      </c>
      <c r="B55" s="304" t="s">
        <v>342</v>
      </c>
      <c r="C55" s="304" t="s">
        <v>106</v>
      </c>
      <c r="D55" s="365"/>
      <c r="E55" s="325">
        <v>0.01741898148148148</v>
      </c>
      <c r="F55" s="357">
        <v>42231</v>
      </c>
      <c r="G55" s="368"/>
      <c r="H55" s="325">
        <v>0.015833333333333335</v>
      </c>
      <c r="I55" s="325">
        <f>+H55*0.95</f>
        <v>0.015041666666666667</v>
      </c>
      <c r="J55" s="357">
        <v>42196</v>
      </c>
      <c r="K55" s="368"/>
      <c r="L55" s="325">
        <f t="shared" si="4"/>
        <v>0.015041666666666667</v>
      </c>
      <c r="M55" s="306">
        <v>14</v>
      </c>
      <c r="N55" s="306">
        <v>17</v>
      </c>
      <c r="O55" s="83"/>
      <c r="P55" s="85"/>
      <c r="Q55" s="86"/>
    </row>
    <row r="56" spans="1:17" ht="15">
      <c r="A56" s="341">
        <f t="shared" si="1"/>
        <v>51</v>
      </c>
      <c r="B56" s="300" t="s">
        <v>517</v>
      </c>
      <c r="C56" s="300" t="s">
        <v>516</v>
      </c>
      <c r="E56" s="326">
        <v>0.015046296296296295</v>
      </c>
      <c r="F56" s="358">
        <v>42245</v>
      </c>
      <c r="G56" s="369"/>
      <c r="H56" s="326"/>
      <c r="I56" s="326"/>
      <c r="J56" s="358"/>
      <c r="K56" s="369"/>
      <c r="L56" s="326">
        <f t="shared" si="4"/>
        <v>0.015046296296296295</v>
      </c>
      <c r="M56" s="302">
        <v>8</v>
      </c>
      <c r="N56" s="302">
        <v>23</v>
      </c>
      <c r="O56" s="83"/>
      <c r="P56" s="85"/>
      <c r="Q56" s="86"/>
    </row>
    <row r="57" spans="1:17" ht="15">
      <c r="A57" s="341">
        <f t="shared" si="1"/>
        <v>52</v>
      </c>
      <c r="B57" s="304" t="s">
        <v>356</v>
      </c>
      <c r="C57" s="304" t="s">
        <v>83</v>
      </c>
      <c r="D57" s="365"/>
      <c r="E57" s="325">
        <v>0.015081018518518516</v>
      </c>
      <c r="F57" s="357">
        <v>42098</v>
      </c>
      <c r="G57" s="368"/>
      <c r="H57" s="325"/>
      <c r="I57" s="325"/>
      <c r="J57" s="357"/>
      <c r="K57" s="368"/>
      <c r="L57" s="325">
        <f t="shared" si="4"/>
        <v>0.015081018518518516</v>
      </c>
      <c r="M57" s="306">
        <v>15</v>
      </c>
      <c r="N57" s="306">
        <v>16</v>
      </c>
      <c r="O57" s="83"/>
      <c r="P57" s="85"/>
      <c r="Q57" s="86"/>
    </row>
    <row r="58" spans="1:17" ht="15">
      <c r="A58" s="341">
        <f t="shared" si="1"/>
        <v>53</v>
      </c>
      <c r="B58" s="300" t="s">
        <v>321</v>
      </c>
      <c r="C58" s="300" t="s">
        <v>132</v>
      </c>
      <c r="E58" s="326"/>
      <c r="F58" s="358"/>
      <c r="G58" s="369"/>
      <c r="H58" s="326">
        <v>0.015891203703703703</v>
      </c>
      <c r="I58" s="326">
        <f>+H58*0.95</f>
        <v>0.015096643518518516</v>
      </c>
      <c r="J58" s="358">
        <v>42357</v>
      </c>
      <c r="K58" s="369"/>
      <c r="L58" s="326">
        <f>MIN(I58,E58)</f>
        <v>0.015096643518518516</v>
      </c>
      <c r="M58" s="302">
        <v>9</v>
      </c>
      <c r="N58" s="302">
        <v>22</v>
      </c>
      <c r="O58" s="83"/>
      <c r="P58" s="85"/>
      <c r="Q58" s="86"/>
    </row>
    <row r="59" spans="1:17" ht="15">
      <c r="A59" s="341">
        <f t="shared" si="1"/>
        <v>54</v>
      </c>
      <c r="B59" s="308" t="s">
        <v>189</v>
      </c>
      <c r="C59" s="308" t="s">
        <v>162</v>
      </c>
      <c r="E59" s="327">
        <v>0.015092592592592593</v>
      </c>
      <c r="F59" s="359">
        <v>42231</v>
      </c>
      <c r="G59" s="369"/>
      <c r="H59" s="327"/>
      <c r="I59" s="327"/>
      <c r="J59" s="359"/>
      <c r="K59" s="369"/>
      <c r="L59" s="327">
        <f t="shared" si="4"/>
        <v>0.015092592592592593</v>
      </c>
      <c r="M59" s="310">
        <v>6</v>
      </c>
      <c r="N59" s="310">
        <v>25</v>
      </c>
      <c r="O59" s="83"/>
      <c r="P59" s="85"/>
      <c r="Q59" s="86"/>
    </row>
    <row r="60" spans="1:17" ht="15">
      <c r="A60" s="341">
        <f t="shared" si="1"/>
        <v>55</v>
      </c>
      <c r="B60" s="304" t="s">
        <v>339</v>
      </c>
      <c r="C60" s="304" t="s">
        <v>338</v>
      </c>
      <c r="D60" s="365"/>
      <c r="E60" s="325">
        <v>0.015196759259259259</v>
      </c>
      <c r="F60" s="357">
        <v>42294</v>
      </c>
      <c r="G60" s="368"/>
      <c r="H60" s="325">
        <v>0.015902777777777776</v>
      </c>
      <c r="I60" s="325">
        <f>+H60*0.95</f>
        <v>0.015107638888888886</v>
      </c>
      <c r="J60" s="357">
        <v>42231</v>
      </c>
      <c r="K60" s="368"/>
      <c r="L60" s="325">
        <f t="shared" si="4"/>
        <v>0.015107638888888886</v>
      </c>
      <c r="M60" s="306">
        <v>16</v>
      </c>
      <c r="N60" s="306">
        <v>15</v>
      </c>
      <c r="O60" s="83"/>
      <c r="P60" s="85"/>
      <c r="Q60" s="86"/>
    </row>
    <row r="61" spans="1:17" ht="15">
      <c r="A61" s="341">
        <f t="shared" si="1"/>
        <v>56</v>
      </c>
      <c r="B61" s="300" t="s">
        <v>320</v>
      </c>
      <c r="C61" s="300" t="s">
        <v>310</v>
      </c>
      <c r="E61" s="326">
        <v>0.015196759259259259</v>
      </c>
      <c r="F61" s="358">
        <v>42049</v>
      </c>
      <c r="G61" s="369"/>
      <c r="H61" s="326">
        <v>0.0159375</v>
      </c>
      <c r="I61" s="326">
        <f>+H61*0.95</f>
        <v>0.015140625</v>
      </c>
      <c r="J61" s="358">
        <v>42273</v>
      </c>
      <c r="K61" s="369"/>
      <c r="L61" s="326">
        <f>MIN(I61,E61)</f>
        <v>0.015140625</v>
      </c>
      <c r="M61" s="302">
        <v>10</v>
      </c>
      <c r="N61" s="302">
        <v>21</v>
      </c>
      <c r="O61" s="83"/>
      <c r="P61" s="85"/>
      <c r="Q61" s="86"/>
    </row>
    <row r="62" spans="1:17" ht="15">
      <c r="A62" s="341">
        <f t="shared" si="1"/>
        <v>57</v>
      </c>
      <c r="B62" s="300" t="s">
        <v>96</v>
      </c>
      <c r="C62" s="300" t="s">
        <v>97</v>
      </c>
      <c r="E62" s="326">
        <v>0.015150462962962963</v>
      </c>
      <c r="F62" s="358">
        <v>42238</v>
      </c>
      <c r="G62" s="369"/>
      <c r="H62" s="326">
        <v>0.01707175925925926</v>
      </c>
      <c r="I62" s="326">
        <f>+H62*0.95</f>
        <v>0.016218171296296297</v>
      </c>
      <c r="J62" s="358">
        <v>42119</v>
      </c>
      <c r="K62" s="369"/>
      <c r="L62" s="326">
        <f t="shared" si="4"/>
        <v>0.015150462962962963</v>
      </c>
      <c r="M62" s="302">
        <v>11</v>
      </c>
      <c r="N62" s="302">
        <v>20</v>
      </c>
      <c r="O62" s="83"/>
      <c r="P62" s="85"/>
      <c r="Q62" s="86"/>
    </row>
    <row r="63" spans="1:17" ht="15">
      <c r="A63" s="341">
        <f t="shared" si="1"/>
        <v>58</v>
      </c>
      <c r="B63" s="300" t="s">
        <v>342</v>
      </c>
      <c r="C63" s="300" t="s">
        <v>341</v>
      </c>
      <c r="E63" s="326">
        <v>0.015162037037037036</v>
      </c>
      <c r="F63" s="358">
        <v>42077</v>
      </c>
      <c r="G63" s="369"/>
      <c r="H63" s="326">
        <v>0.01678240740740741</v>
      </c>
      <c r="I63" s="326">
        <f>+H63*0.95</f>
        <v>0.015943287037037037</v>
      </c>
      <c r="J63" s="358">
        <v>42189</v>
      </c>
      <c r="K63" s="369"/>
      <c r="L63" s="326">
        <f t="shared" si="4"/>
        <v>0.015162037037037036</v>
      </c>
      <c r="M63" s="302">
        <v>12</v>
      </c>
      <c r="N63" s="302">
        <v>19</v>
      </c>
      <c r="O63" s="83"/>
      <c r="P63" s="85"/>
      <c r="Q63" s="86"/>
    </row>
    <row r="64" spans="1:17" ht="15">
      <c r="A64" s="341">
        <f t="shared" si="1"/>
        <v>59</v>
      </c>
      <c r="B64" s="296" t="s">
        <v>399</v>
      </c>
      <c r="C64" s="296" t="s">
        <v>400</v>
      </c>
      <c r="D64" s="364"/>
      <c r="E64" s="324">
        <v>0.015173611111111112</v>
      </c>
      <c r="F64" s="356">
        <v>42238</v>
      </c>
      <c r="G64" s="367"/>
      <c r="H64" s="324"/>
      <c r="I64" s="324"/>
      <c r="J64" s="356"/>
      <c r="K64" s="367"/>
      <c r="L64" s="324">
        <f t="shared" si="4"/>
        <v>0.015173611111111112</v>
      </c>
      <c r="M64" s="298">
        <v>15</v>
      </c>
      <c r="N64" s="298">
        <v>16</v>
      </c>
      <c r="O64" s="83"/>
      <c r="P64" s="85"/>
      <c r="Q64" s="86"/>
    </row>
    <row r="65" spans="1:17" ht="15">
      <c r="A65" s="341">
        <f t="shared" si="1"/>
        <v>60</v>
      </c>
      <c r="B65" s="300" t="s">
        <v>52</v>
      </c>
      <c r="C65" s="300" t="s">
        <v>97</v>
      </c>
      <c r="E65" s="326">
        <v>0.015185185185185185</v>
      </c>
      <c r="F65" s="358">
        <v>42245</v>
      </c>
      <c r="G65" s="369"/>
      <c r="H65" s="326"/>
      <c r="I65" s="326"/>
      <c r="J65" s="358"/>
      <c r="K65" s="369"/>
      <c r="L65" s="326">
        <f t="shared" si="4"/>
        <v>0.015185185185185185</v>
      </c>
      <c r="M65" s="302">
        <v>13</v>
      </c>
      <c r="N65" s="302">
        <v>18</v>
      </c>
      <c r="O65" s="83"/>
      <c r="P65" s="85"/>
      <c r="Q65" s="86"/>
    </row>
    <row r="66" spans="1:17" ht="15">
      <c r="A66" s="341">
        <f t="shared" si="1"/>
        <v>61</v>
      </c>
      <c r="B66" s="304" t="s">
        <v>31</v>
      </c>
      <c r="C66" s="304" t="s">
        <v>75</v>
      </c>
      <c r="D66" s="365"/>
      <c r="E66" s="325">
        <v>0.015381944444444443</v>
      </c>
      <c r="F66" s="357">
        <v>42147</v>
      </c>
      <c r="G66" s="368"/>
      <c r="H66" s="325"/>
      <c r="I66" s="325"/>
      <c r="J66" s="357"/>
      <c r="K66" s="368"/>
      <c r="L66" s="325">
        <f t="shared" si="4"/>
        <v>0.015381944444444443</v>
      </c>
      <c r="M66" s="306">
        <v>17</v>
      </c>
      <c r="N66" s="306">
        <v>14</v>
      </c>
      <c r="O66" s="83"/>
      <c r="P66" s="85"/>
      <c r="Q66" s="86"/>
    </row>
    <row r="67" spans="1:24" ht="15">
      <c r="A67" s="341">
        <f t="shared" si="1"/>
        <v>62</v>
      </c>
      <c r="B67" s="15" t="s">
        <v>115</v>
      </c>
      <c r="C67" s="86" t="s">
        <v>461</v>
      </c>
      <c r="D67" s="86"/>
      <c r="E67" s="232">
        <v>0.016168981481481482</v>
      </c>
      <c r="F67" s="79">
        <v>42294</v>
      </c>
      <c r="G67" s="79"/>
      <c r="H67" s="232">
        <v>0.016203703703703703</v>
      </c>
      <c r="I67" s="232">
        <f>+H67*0.95</f>
        <v>0.015393518518518516</v>
      </c>
      <c r="J67" s="245">
        <v>42308</v>
      </c>
      <c r="K67" s="79"/>
      <c r="L67" s="363">
        <f>MIN(I67,E67)</f>
        <v>0.015393518518518516</v>
      </c>
      <c r="M67" s="84"/>
      <c r="N67" s="84"/>
      <c r="O67" s="83"/>
      <c r="X67" s="85"/>
    </row>
    <row r="68" spans="1:17" ht="15">
      <c r="A68" s="341">
        <f t="shared" si="1"/>
        <v>63</v>
      </c>
      <c r="B68" s="308" t="s">
        <v>103</v>
      </c>
      <c r="C68" s="308" t="s">
        <v>104</v>
      </c>
      <c r="D68" s="15"/>
      <c r="E68" s="327">
        <v>0.01554398148148148</v>
      </c>
      <c r="F68" s="359">
        <v>42238</v>
      </c>
      <c r="G68" s="369"/>
      <c r="H68" s="327">
        <v>0.016354166666666666</v>
      </c>
      <c r="I68" s="327">
        <f>+H68*0.95</f>
        <v>0.015536458333333333</v>
      </c>
      <c r="J68" s="359">
        <v>42245</v>
      </c>
      <c r="K68" s="369"/>
      <c r="L68" s="327">
        <f t="shared" si="4"/>
        <v>0.015536458333333333</v>
      </c>
      <c r="M68" s="310">
        <v>7</v>
      </c>
      <c r="N68" s="310">
        <v>24</v>
      </c>
      <c r="O68" s="83"/>
      <c r="P68" s="85"/>
      <c r="Q68" s="86"/>
    </row>
    <row r="69" spans="1:24" ht="15">
      <c r="A69" s="341">
        <f t="shared" si="1"/>
        <v>64</v>
      </c>
      <c r="B69" t="s">
        <v>643</v>
      </c>
      <c r="C69" t="s">
        <v>84</v>
      </c>
      <c r="F69" s="245"/>
      <c r="G69" s="366"/>
      <c r="H69" s="232">
        <v>0.016354166666666666</v>
      </c>
      <c r="I69" s="232">
        <f>+H69*0.95</f>
        <v>0.015536458333333333</v>
      </c>
      <c r="J69" s="245">
        <v>42357</v>
      </c>
      <c r="K69" s="366"/>
      <c r="L69" s="363">
        <f>MIN(I69,E69)</f>
        <v>0.015536458333333333</v>
      </c>
      <c r="M69" s="231"/>
      <c r="O69" s="83"/>
      <c r="P69" s="233"/>
      <c r="Q69"/>
      <c r="R69"/>
      <c r="S69"/>
      <c r="T69"/>
      <c r="U69"/>
      <c r="V69"/>
      <c r="W69"/>
      <c r="X69"/>
    </row>
    <row r="70" spans="1:17" ht="15">
      <c r="A70" s="341">
        <f t="shared" si="1"/>
        <v>65</v>
      </c>
      <c r="B70" s="308" t="s">
        <v>431</v>
      </c>
      <c r="C70" s="308" t="s">
        <v>432</v>
      </c>
      <c r="E70" s="327">
        <v>0.015578703703703704</v>
      </c>
      <c r="F70" s="359">
        <v>42280</v>
      </c>
      <c r="G70" s="369"/>
      <c r="H70" s="327">
        <v>0.016979166666666667</v>
      </c>
      <c r="I70" s="327">
        <f>+H70*0.95</f>
        <v>0.016130208333333333</v>
      </c>
      <c r="J70" s="359">
        <v>42252</v>
      </c>
      <c r="K70" s="369"/>
      <c r="L70" s="327">
        <f>MIN(I70,E70)</f>
        <v>0.015578703703703704</v>
      </c>
      <c r="M70" s="310">
        <v>8</v>
      </c>
      <c r="N70" s="310">
        <v>23</v>
      </c>
      <c r="O70" s="83"/>
      <c r="P70" s="85"/>
      <c r="Q70" s="86"/>
    </row>
    <row r="71" spans="1:17" ht="15">
      <c r="A71" s="341">
        <f t="shared" si="1"/>
        <v>66</v>
      </c>
      <c r="B71" s="300" t="s">
        <v>235</v>
      </c>
      <c r="C71" s="300" t="s">
        <v>236</v>
      </c>
      <c r="E71" s="326">
        <v>0.015590277777777778</v>
      </c>
      <c r="F71" s="358">
        <v>42077</v>
      </c>
      <c r="G71" s="369"/>
      <c r="H71" s="326"/>
      <c r="I71" s="326"/>
      <c r="J71" s="358"/>
      <c r="K71" s="369"/>
      <c r="L71" s="326">
        <f t="shared" si="4"/>
        <v>0.015590277777777778</v>
      </c>
      <c r="M71" s="302">
        <v>14</v>
      </c>
      <c r="N71" s="302">
        <v>17</v>
      </c>
      <c r="O71" s="83"/>
      <c r="P71" s="85"/>
      <c r="Q71" s="86"/>
    </row>
    <row r="72" spans="1:17" ht="15">
      <c r="A72" s="341">
        <f aca="true" t="shared" si="5" ref="A72:A135">1+A71</f>
        <v>67</v>
      </c>
      <c r="B72" s="308" t="s">
        <v>558</v>
      </c>
      <c r="C72" s="308" t="s">
        <v>557</v>
      </c>
      <c r="E72" s="327"/>
      <c r="F72" s="359"/>
      <c r="G72" s="369"/>
      <c r="H72" s="327">
        <v>0.016412037037037037</v>
      </c>
      <c r="I72" s="327">
        <f>+H72*0.95</f>
        <v>0.015591435185185186</v>
      </c>
      <c r="J72" s="359">
        <v>42245</v>
      </c>
      <c r="K72" s="369"/>
      <c r="L72" s="327">
        <f t="shared" si="4"/>
        <v>0.015591435185185186</v>
      </c>
      <c r="M72" s="310">
        <v>9</v>
      </c>
      <c r="N72" s="310">
        <v>22</v>
      </c>
      <c r="O72" s="83"/>
      <c r="P72" s="85"/>
      <c r="Q72" s="86"/>
    </row>
    <row r="73" spans="1:17" ht="15">
      <c r="A73" s="341">
        <f t="shared" si="5"/>
        <v>68</v>
      </c>
      <c r="B73" s="300" t="s">
        <v>187</v>
      </c>
      <c r="C73" s="300" t="s">
        <v>88</v>
      </c>
      <c r="E73" s="326"/>
      <c r="F73" s="358"/>
      <c r="G73" s="369"/>
      <c r="H73" s="326">
        <v>0.01644675925925926</v>
      </c>
      <c r="I73" s="326">
        <f>+H73*0.95</f>
        <v>0.015624421296296298</v>
      </c>
      <c r="J73" s="358">
        <v>42070</v>
      </c>
      <c r="K73" s="369"/>
      <c r="L73" s="326">
        <f t="shared" si="4"/>
        <v>0.015624421296296298</v>
      </c>
      <c r="M73" s="422" t="s">
        <v>637</v>
      </c>
      <c r="N73" s="302">
        <v>16</v>
      </c>
      <c r="O73" s="83"/>
      <c r="P73" s="85"/>
      <c r="Q73" s="86"/>
    </row>
    <row r="74" spans="1:17" ht="15">
      <c r="A74" s="341">
        <f t="shared" si="5"/>
        <v>69</v>
      </c>
      <c r="B74" s="300" t="s">
        <v>124</v>
      </c>
      <c r="C74" s="300" t="s">
        <v>125</v>
      </c>
      <c r="E74" s="326">
        <v>0.015625</v>
      </c>
      <c r="F74" s="358">
        <v>42294</v>
      </c>
      <c r="G74" s="369"/>
      <c r="H74" s="326"/>
      <c r="I74" s="326"/>
      <c r="J74" s="358"/>
      <c r="K74" s="369"/>
      <c r="L74" s="326">
        <f>MIN(I74,E74)</f>
        <v>0.015625</v>
      </c>
      <c r="M74" s="422" t="s">
        <v>637</v>
      </c>
      <c r="N74" s="302">
        <v>16</v>
      </c>
      <c r="O74" s="83"/>
      <c r="P74" s="85"/>
      <c r="Q74" s="86"/>
    </row>
    <row r="75" spans="1:17" ht="15">
      <c r="A75" s="341">
        <f t="shared" si="5"/>
        <v>70</v>
      </c>
      <c r="B75" s="300" t="s">
        <v>117</v>
      </c>
      <c r="C75" s="300" t="s">
        <v>118</v>
      </c>
      <c r="E75" s="326">
        <v>0.015833333333333335</v>
      </c>
      <c r="F75" s="358">
        <v>42175</v>
      </c>
      <c r="G75" s="369"/>
      <c r="H75" s="326">
        <v>0.016585648148148148</v>
      </c>
      <c r="I75" s="326">
        <f>+H75*0.95</f>
        <v>0.01575636574074074</v>
      </c>
      <c r="J75" s="358">
        <v>42203</v>
      </c>
      <c r="K75" s="369"/>
      <c r="L75" s="326">
        <f t="shared" si="4"/>
        <v>0.01575636574074074</v>
      </c>
      <c r="M75" s="302">
        <v>17</v>
      </c>
      <c r="N75" s="302">
        <v>14</v>
      </c>
      <c r="O75" s="83"/>
      <c r="P75" s="85"/>
      <c r="Q75" s="86"/>
    </row>
    <row r="76" spans="1:17" ht="15">
      <c r="A76" s="341">
        <f t="shared" si="5"/>
        <v>71</v>
      </c>
      <c r="B76" s="308" t="s">
        <v>228</v>
      </c>
      <c r="C76" s="308" t="s">
        <v>340</v>
      </c>
      <c r="E76" s="327">
        <v>0.015787037037037037</v>
      </c>
      <c r="F76" s="359">
        <v>42098</v>
      </c>
      <c r="G76" s="369"/>
      <c r="H76" s="327">
        <v>0.01659722222222222</v>
      </c>
      <c r="I76" s="327">
        <f>+H76*0.95</f>
        <v>0.01576736111111111</v>
      </c>
      <c r="J76" s="359">
        <v>42273</v>
      </c>
      <c r="K76" s="369"/>
      <c r="L76" s="327">
        <f t="shared" si="4"/>
        <v>0.01576736111111111</v>
      </c>
      <c r="M76" s="310">
        <v>10</v>
      </c>
      <c r="N76" s="310">
        <v>21</v>
      </c>
      <c r="O76" s="83"/>
      <c r="P76" s="85"/>
      <c r="Q76" s="86"/>
    </row>
    <row r="77" spans="1:17" ht="15">
      <c r="A77" s="341">
        <f t="shared" si="5"/>
        <v>72</v>
      </c>
      <c r="B77" s="257" t="s">
        <v>518</v>
      </c>
      <c r="C77" s="257" t="s">
        <v>178</v>
      </c>
      <c r="E77" s="328">
        <v>0.015833333333333335</v>
      </c>
      <c r="F77" s="360">
        <v>42287</v>
      </c>
      <c r="G77" s="369"/>
      <c r="H77" s="328">
        <v>0.016909722222222225</v>
      </c>
      <c r="I77" s="328">
        <f>+H77*0.95</f>
        <v>0.016064236111111112</v>
      </c>
      <c r="J77" s="360">
        <v>42252</v>
      </c>
      <c r="K77" s="369"/>
      <c r="L77" s="328">
        <f>MIN(I77,E77)</f>
        <v>0.015833333333333335</v>
      </c>
      <c r="M77" s="312">
        <v>1</v>
      </c>
      <c r="N77" s="312">
        <v>30</v>
      </c>
      <c r="O77" s="83"/>
      <c r="P77" s="85"/>
      <c r="Q77" s="86"/>
    </row>
    <row r="78" spans="1:17" ht="15">
      <c r="A78" s="341">
        <f t="shared" si="5"/>
        <v>73</v>
      </c>
      <c r="B78" s="308" t="s">
        <v>63</v>
      </c>
      <c r="C78" s="308" t="s">
        <v>38</v>
      </c>
      <c r="E78" s="327"/>
      <c r="F78" s="359"/>
      <c r="G78" s="369"/>
      <c r="H78" s="327">
        <v>0.01667824074074074</v>
      </c>
      <c r="I78" s="327">
        <f>+H78*0.95</f>
        <v>0.0158443287037037</v>
      </c>
      <c r="J78" s="359">
        <v>42315</v>
      </c>
      <c r="K78" s="369"/>
      <c r="L78" s="327">
        <f>MIN(I78,E78)</f>
        <v>0.0158443287037037</v>
      </c>
      <c r="M78" s="310">
        <v>11</v>
      </c>
      <c r="N78" s="310">
        <v>20</v>
      </c>
      <c r="O78" s="83"/>
      <c r="P78" s="85"/>
      <c r="Q78" s="86"/>
    </row>
    <row r="79" spans="1:17" ht="15">
      <c r="A79" s="341">
        <f t="shared" si="5"/>
        <v>74</v>
      </c>
      <c r="B79" s="308" t="s">
        <v>539</v>
      </c>
      <c r="C79" s="308" t="s">
        <v>549</v>
      </c>
      <c r="E79" s="327"/>
      <c r="F79" s="359"/>
      <c r="G79" s="369"/>
      <c r="H79" s="327">
        <v>0.01685185185185185</v>
      </c>
      <c r="I79" s="327">
        <f>+H79*0.95</f>
        <v>0.016009259259259258</v>
      </c>
      <c r="J79" s="359">
        <v>42203</v>
      </c>
      <c r="K79" s="369"/>
      <c r="L79" s="327">
        <f t="shared" si="4"/>
        <v>0.016009259259259258</v>
      </c>
      <c r="M79" s="310">
        <v>12</v>
      </c>
      <c r="N79" s="310">
        <v>19</v>
      </c>
      <c r="O79" s="83"/>
      <c r="P79" s="85"/>
      <c r="Q79" s="86"/>
    </row>
    <row r="80" spans="1:17" ht="15">
      <c r="A80" s="341">
        <f t="shared" si="5"/>
        <v>75</v>
      </c>
      <c r="B80" s="308" t="s">
        <v>305</v>
      </c>
      <c r="C80" s="308" t="s">
        <v>306</v>
      </c>
      <c r="E80" s="327">
        <v>0.01605324074074074</v>
      </c>
      <c r="F80" s="359">
        <v>42210</v>
      </c>
      <c r="G80" s="369"/>
      <c r="H80" s="327"/>
      <c r="I80" s="327"/>
      <c r="J80" s="359"/>
      <c r="K80" s="369"/>
      <c r="L80" s="327">
        <f t="shared" si="4"/>
        <v>0.01605324074074074</v>
      </c>
      <c r="M80" s="310">
        <v>13</v>
      </c>
      <c r="N80" s="310">
        <v>18</v>
      </c>
      <c r="O80" s="83"/>
      <c r="P80" s="85"/>
      <c r="Q80" s="86"/>
    </row>
    <row r="81" spans="1:17" ht="15">
      <c r="A81" s="341">
        <f t="shared" si="5"/>
        <v>76</v>
      </c>
      <c r="B81" s="300" t="s">
        <v>63</v>
      </c>
      <c r="C81" s="300" t="s">
        <v>110</v>
      </c>
      <c r="E81" s="326">
        <v>0.016064814814814813</v>
      </c>
      <c r="F81" s="358">
        <v>42238</v>
      </c>
      <c r="G81" s="369"/>
      <c r="H81" s="326"/>
      <c r="I81" s="326"/>
      <c r="J81" s="358"/>
      <c r="K81" s="369"/>
      <c r="L81" s="326">
        <f t="shared" si="4"/>
        <v>0.016064814814814813</v>
      </c>
      <c r="M81" s="302">
        <v>18</v>
      </c>
      <c r="N81" s="302">
        <v>13</v>
      </c>
      <c r="O81" s="83"/>
      <c r="P81" s="85"/>
      <c r="Q81" s="86"/>
    </row>
    <row r="82" spans="1:24" ht="15">
      <c r="A82" s="341">
        <f t="shared" si="5"/>
        <v>77</v>
      </c>
      <c r="B82" t="s">
        <v>164</v>
      </c>
      <c r="C82" t="s">
        <v>318</v>
      </c>
      <c r="E82" s="232">
        <v>0.016145833333333335</v>
      </c>
      <c r="F82" s="245">
        <v>42189</v>
      </c>
      <c r="G82" s="366"/>
      <c r="J82" s="245"/>
      <c r="K82" s="366"/>
      <c r="L82" s="363">
        <f t="shared" si="4"/>
        <v>0.016145833333333335</v>
      </c>
      <c r="M82" s="231"/>
      <c r="O82" s="83"/>
      <c r="P82" s="233"/>
      <c r="Q82"/>
      <c r="R82"/>
      <c r="S82"/>
      <c r="T82"/>
      <c r="U82"/>
      <c r="V82"/>
      <c r="W82"/>
      <c r="X82"/>
    </row>
    <row r="83" spans="1:24" ht="15">
      <c r="A83" s="341">
        <f t="shared" si="5"/>
        <v>78</v>
      </c>
      <c r="B83" t="s">
        <v>436</v>
      </c>
      <c r="C83" t="s">
        <v>435</v>
      </c>
      <c r="E83" s="232">
        <v>0.01619212962962963</v>
      </c>
      <c r="F83" s="245">
        <v>42273</v>
      </c>
      <c r="G83" s="366"/>
      <c r="H83" s="232">
        <v>0.017847222222222223</v>
      </c>
      <c r="I83" s="232">
        <f>+H83*0.95</f>
        <v>0.01695486111111111</v>
      </c>
      <c r="J83" s="245">
        <v>42182</v>
      </c>
      <c r="K83" s="366"/>
      <c r="L83" s="363">
        <f>MIN(I83,E83)</f>
        <v>0.01619212962962963</v>
      </c>
      <c r="M83" s="231"/>
      <c r="O83" s="83"/>
      <c r="P83" s="233"/>
      <c r="Q83"/>
      <c r="R83"/>
      <c r="S83"/>
      <c r="T83"/>
      <c r="U83"/>
      <c r="V83"/>
      <c r="W83"/>
      <c r="X83"/>
    </row>
    <row r="84" spans="1:17" ht="15">
      <c r="A84" s="341">
        <f t="shared" si="5"/>
        <v>79</v>
      </c>
      <c r="B84" s="308" t="s">
        <v>413</v>
      </c>
      <c r="C84" s="308" t="s">
        <v>137</v>
      </c>
      <c r="E84" s="327"/>
      <c r="F84" s="359"/>
      <c r="G84" s="369"/>
      <c r="H84" s="327">
        <v>0.01709490740740741</v>
      </c>
      <c r="I84" s="327">
        <f>+H84*0.95</f>
        <v>0.01624016203703704</v>
      </c>
      <c r="J84" s="359">
        <v>42105</v>
      </c>
      <c r="K84" s="369"/>
      <c r="L84" s="327">
        <f t="shared" si="4"/>
        <v>0.01624016203703704</v>
      </c>
      <c r="M84" s="310">
        <v>14</v>
      </c>
      <c r="N84" s="310">
        <v>17</v>
      </c>
      <c r="O84" s="83"/>
      <c r="P84" s="85"/>
      <c r="Q84" s="86"/>
    </row>
    <row r="85" spans="1:17" ht="15">
      <c r="A85" s="341">
        <f t="shared" si="5"/>
        <v>80</v>
      </c>
      <c r="B85" s="308" t="s">
        <v>158</v>
      </c>
      <c r="C85" s="308" t="s">
        <v>291</v>
      </c>
      <c r="E85" s="327">
        <v>0.016319444444444445</v>
      </c>
      <c r="F85" s="359">
        <v>42042</v>
      </c>
      <c r="G85" s="369"/>
      <c r="H85" s="327"/>
      <c r="I85" s="327"/>
      <c r="J85" s="359"/>
      <c r="K85" s="369"/>
      <c r="L85" s="327">
        <f t="shared" si="4"/>
        <v>0.016319444444444445</v>
      </c>
      <c r="M85" s="337" t="s">
        <v>637</v>
      </c>
      <c r="N85" s="310">
        <v>16</v>
      </c>
      <c r="O85" s="83"/>
      <c r="P85" s="85"/>
      <c r="Q85" s="86"/>
    </row>
    <row r="86" spans="1:17" ht="15">
      <c r="A86" s="341">
        <f t="shared" si="5"/>
        <v>81</v>
      </c>
      <c r="B86" s="308" t="s">
        <v>316</v>
      </c>
      <c r="C86" s="308" t="s">
        <v>315</v>
      </c>
      <c r="E86" s="327">
        <v>0.016319444444444445</v>
      </c>
      <c r="F86" s="359">
        <v>42119</v>
      </c>
      <c r="G86" s="369"/>
      <c r="H86" s="327">
        <v>0.017604166666666667</v>
      </c>
      <c r="I86" s="327">
        <f>+H86*0.95</f>
        <v>0.016723958333333334</v>
      </c>
      <c r="J86" s="359">
        <v>42294</v>
      </c>
      <c r="K86" s="369"/>
      <c r="L86" s="327">
        <f aca="true" t="shared" si="6" ref="L86:L117">MIN(I86,E86)</f>
        <v>0.016319444444444445</v>
      </c>
      <c r="M86" s="337" t="s">
        <v>637</v>
      </c>
      <c r="N86" s="310">
        <v>16</v>
      </c>
      <c r="O86" s="83"/>
      <c r="P86" s="85"/>
      <c r="Q86" s="86"/>
    </row>
    <row r="87" spans="1:17" ht="15">
      <c r="A87" s="341">
        <f t="shared" si="5"/>
        <v>82</v>
      </c>
      <c r="B87" s="308" t="s">
        <v>33</v>
      </c>
      <c r="C87" s="308" t="s">
        <v>327</v>
      </c>
      <c r="D87" s="15"/>
      <c r="E87" s="327">
        <v>0.016377314814814813</v>
      </c>
      <c r="F87" s="359">
        <v>42077</v>
      </c>
      <c r="G87" s="369"/>
      <c r="H87" s="327"/>
      <c r="I87" s="327"/>
      <c r="J87" s="359"/>
      <c r="K87" s="369"/>
      <c r="L87" s="327">
        <f t="shared" si="6"/>
        <v>0.016377314814814813</v>
      </c>
      <c r="M87" s="337">
        <v>17</v>
      </c>
      <c r="N87" s="310">
        <v>14</v>
      </c>
      <c r="O87" s="83"/>
      <c r="P87" s="85"/>
      <c r="Q87" s="86"/>
    </row>
    <row r="88" spans="1:17" ht="15">
      <c r="A88" s="341">
        <f t="shared" si="5"/>
        <v>83</v>
      </c>
      <c r="B88" s="308" t="s">
        <v>493</v>
      </c>
      <c r="C88" s="308" t="s">
        <v>318</v>
      </c>
      <c r="D88" s="15"/>
      <c r="E88" s="327">
        <v>0.016412037037037037</v>
      </c>
      <c r="F88" s="359">
        <v>42154</v>
      </c>
      <c r="G88" s="369"/>
      <c r="H88" s="327"/>
      <c r="I88" s="327"/>
      <c r="J88" s="359"/>
      <c r="K88" s="369"/>
      <c r="L88" s="327">
        <f t="shared" si="6"/>
        <v>0.016412037037037037</v>
      </c>
      <c r="M88" s="337">
        <v>18</v>
      </c>
      <c r="N88" s="310">
        <v>13</v>
      </c>
      <c r="O88" s="83"/>
      <c r="P88" s="85"/>
      <c r="Q88" s="86"/>
    </row>
    <row r="89" spans="1:24" ht="15">
      <c r="A89" s="341">
        <f t="shared" si="5"/>
        <v>84</v>
      </c>
      <c r="B89" t="s">
        <v>434</v>
      </c>
      <c r="C89" t="s">
        <v>492</v>
      </c>
      <c r="E89" s="232">
        <v>0.016458333333333332</v>
      </c>
      <c r="F89" s="245">
        <v>42161</v>
      </c>
      <c r="G89" s="366"/>
      <c r="J89" s="245"/>
      <c r="K89" s="366"/>
      <c r="L89" s="363">
        <f t="shared" si="6"/>
        <v>0.016458333333333332</v>
      </c>
      <c r="M89" s="231"/>
      <c r="O89" s="83"/>
      <c r="P89" s="233"/>
      <c r="Q89"/>
      <c r="R89"/>
      <c r="S89"/>
      <c r="T89"/>
      <c r="U89"/>
      <c r="V89"/>
      <c r="W89"/>
      <c r="X89"/>
    </row>
    <row r="90" spans="1:15" ht="15">
      <c r="A90" s="341">
        <f t="shared" si="5"/>
        <v>85</v>
      </c>
      <c r="B90" s="339" t="s">
        <v>356</v>
      </c>
      <c r="C90" t="s">
        <v>370</v>
      </c>
      <c r="E90" s="232">
        <v>0.01650462962962963</v>
      </c>
      <c r="F90" s="245">
        <v>42273</v>
      </c>
      <c r="G90" s="366"/>
      <c r="J90" s="245"/>
      <c r="K90" s="366"/>
      <c r="L90" s="363">
        <f>MIN(I90,E90)</f>
        <v>0.01650462962962963</v>
      </c>
      <c r="M90" s="231"/>
      <c r="O90" s="83"/>
    </row>
    <row r="91" spans="1:17" ht="15">
      <c r="A91" s="341">
        <f t="shared" si="5"/>
        <v>86</v>
      </c>
      <c r="B91" s="308" t="s">
        <v>223</v>
      </c>
      <c r="C91" s="308" t="s">
        <v>114</v>
      </c>
      <c r="E91" s="327">
        <v>0.017175925925925924</v>
      </c>
      <c r="F91" s="359">
        <v>42238</v>
      </c>
      <c r="G91" s="369"/>
      <c r="H91" s="327">
        <v>0.017395833333333336</v>
      </c>
      <c r="I91" s="327">
        <f>+H91*0.95</f>
        <v>0.016526041666666668</v>
      </c>
      <c r="J91" s="359">
        <v>42098</v>
      </c>
      <c r="K91" s="369"/>
      <c r="L91" s="327">
        <f t="shared" si="6"/>
        <v>0.016526041666666668</v>
      </c>
      <c r="M91" s="310">
        <v>19</v>
      </c>
      <c r="N91" s="310">
        <v>12</v>
      </c>
      <c r="O91" s="83"/>
      <c r="P91" s="85"/>
      <c r="Q91" s="86"/>
    </row>
    <row r="92" spans="1:17" ht="15">
      <c r="A92" s="341">
        <f t="shared" si="5"/>
        <v>87</v>
      </c>
      <c r="B92" s="257" t="s">
        <v>52</v>
      </c>
      <c r="C92" s="257" t="s">
        <v>178</v>
      </c>
      <c r="D92" s="15"/>
      <c r="E92" s="328">
        <v>0.01653935185185185</v>
      </c>
      <c r="F92" s="360">
        <v>42168</v>
      </c>
      <c r="G92" s="369"/>
      <c r="H92" s="328"/>
      <c r="I92" s="328"/>
      <c r="J92" s="360"/>
      <c r="K92" s="369"/>
      <c r="L92" s="328">
        <f t="shared" si="6"/>
        <v>0.01653935185185185</v>
      </c>
      <c r="M92" s="312">
        <v>2</v>
      </c>
      <c r="N92" s="312">
        <v>29</v>
      </c>
      <c r="O92" s="83"/>
      <c r="P92" s="85"/>
      <c r="Q92" s="86"/>
    </row>
    <row r="93" spans="1:24" ht="15">
      <c r="A93" s="341">
        <f t="shared" si="5"/>
        <v>88</v>
      </c>
      <c r="B93" t="s">
        <v>320</v>
      </c>
      <c r="C93" t="s">
        <v>319</v>
      </c>
      <c r="E93" s="232">
        <v>0.016666666666666666</v>
      </c>
      <c r="F93" s="245">
        <v>42336</v>
      </c>
      <c r="G93" s="366"/>
      <c r="J93" s="245"/>
      <c r="K93" s="366"/>
      <c r="L93" s="363">
        <f>MIN(I93,E93)</f>
        <v>0.016666666666666666</v>
      </c>
      <c r="M93" s="231"/>
      <c r="O93" s="83"/>
      <c r="P93" s="233"/>
      <c r="Q93"/>
      <c r="R93"/>
      <c r="S93"/>
      <c r="T93"/>
      <c r="U93"/>
      <c r="V93"/>
      <c r="W93"/>
      <c r="X93"/>
    </row>
    <row r="94" spans="1:17" ht="15">
      <c r="A94" s="341">
        <f t="shared" si="5"/>
        <v>89</v>
      </c>
      <c r="B94" s="257" t="s">
        <v>187</v>
      </c>
      <c r="C94" s="257" t="s">
        <v>374</v>
      </c>
      <c r="D94" s="15"/>
      <c r="E94" s="328">
        <v>0.01673611111111111</v>
      </c>
      <c r="F94" s="360">
        <v>42161</v>
      </c>
      <c r="G94" s="369"/>
      <c r="H94" s="328"/>
      <c r="I94" s="328"/>
      <c r="J94" s="360"/>
      <c r="K94" s="369"/>
      <c r="L94" s="328">
        <f t="shared" si="6"/>
        <v>0.01673611111111111</v>
      </c>
      <c r="M94" s="312">
        <v>3</v>
      </c>
      <c r="N94" s="312">
        <v>28</v>
      </c>
      <c r="O94" s="83"/>
      <c r="P94" s="85"/>
      <c r="Q94" s="86"/>
    </row>
    <row r="95" spans="1:17" ht="15">
      <c r="A95" s="341">
        <f t="shared" si="5"/>
        <v>90</v>
      </c>
      <c r="B95" s="308" t="s">
        <v>361</v>
      </c>
      <c r="C95" s="308" t="s">
        <v>84</v>
      </c>
      <c r="D95" s="15"/>
      <c r="E95" s="327">
        <v>0.01685185185185185</v>
      </c>
      <c r="F95" s="359">
        <v>42203</v>
      </c>
      <c r="G95" s="369"/>
      <c r="H95" s="327">
        <v>0.018368055555555554</v>
      </c>
      <c r="I95" s="327">
        <f>+H95*0.95</f>
        <v>0.017449652777777776</v>
      </c>
      <c r="J95" s="359">
        <v>42217</v>
      </c>
      <c r="K95" s="369"/>
      <c r="L95" s="327">
        <f t="shared" si="6"/>
        <v>0.01685185185185185</v>
      </c>
      <c r="M95" s="310">
        <v>20</v>
      </c>
      <c r="N95" s="310">
        <v>11</v>
      </c>
      <c r="O95" s="83"/>
      <c r="P95" s="85"/>
      <c r="Q95" s="86"/>
    </row>
    <row r="96" spans="1:17" ht="15">
      <c r="A96" s="341">
        <f t="shared" si="5"/>
        <v>91</v>
      </c>
      <c r="B96" s="308" t="s">
        <v>222</v>
      </c>
      <c r="C96" s="308" t="s">
        <v>221</v>
      </c>
      <c r="E96" s="327">
        <v>0.016875</v>
      </c>
      <c r="F96" s="359">
        <v>42329</v>
      </c>
      <c r="G96" s="369"/>
      <c r="H96" s="327"/>
      <c r="I96" s="327"/>
      <c r="J96" s="359"/>
      <c r="K96" s="369"/>
      <c r="L96" s="327">
        <f>MIN(I96,E96)</f>
        <v>0.016875</v>
      </c>
      <c r="M96" s="337">
        <v>21</v>
      </c>
      <c r="N96" s="310">
        <v>10</v>
      </c>
      <c r="O96" s="83"/>
      <c r="P96" s="85"/>
      <c r="Q96" s="86"/>
    </row>
    <row r="97" spans="1:17" ht="15">
      <c r="A97" s="341">
        <f t="shared" si="5"/>
        <v>92</v>
      </c>
      <c r="B97" s="308" t="s">
        <v>119</v>
      </c>
      <c r="C97" s="308" t="s">
        <v>120</v>
      </c>
      <c r="E97" s="327"/>
      <c r="F97" s="359"/>
      <c r="G97" s="369"/>
      <c r="H97" s="327">
        <v>0.017777777777777778</v>
      </c>
      <c r="I97" s="327">
        <f>+H97*0.95</f>
        <v>0.016888888888888887</v>
      </c>
      <c r="J97" s="359">
        <v>42322</v>
      </c>
      <c r="K97" s="369"/>
      <c r="L97" s="327">
        <f>MIN(I97,E97)</f>
        <v>0.016888888888888887</v>
      </c>
      <c r="M97" s="310">
        <v>22</v>
      </c>
      <c r="N97" s="310">
        <v>9</v>
      </c>
      <c r="O97" s="83"/>
      <c r="P97" s="85"/>
      <c r="Q97" s="86"/>
    </row>
    <row r="98" spans="1:15" ht="15">
      <c r="A98" s="341">
        <f t="shared" si="5"/>
        <v>93</v>
      </c>
      <c r="B98" t="s">
        <v>219</v>
      </c>
      <c r="C98" t="s">
        <v>482</v>
      </c>
      <c r="H98" s="232">
        <v>0.0178125</v>
      </c>
      <c r="I98" s="232">
        <f>+H98*0.95</f>
        <v>0.016921875</v>
      </c>
      <c r="J98" s="245">
        <v>42084</v>
      </c>
      <c r="K98" s="366"/>
      <c r="L98" s="363">
        <f t="shared" si="6"/>
        <v>0.016921875</v>
      </c>
      <c r="O98" s="83"/>
    </row>
    <row r="99" spans="1:17" ht="15">
      <c r="A99" s="341">
        <f t="shared" si="5"/>
        <v>94</v>
      </c>
      <c r="B99" s="257" t="s">
        <v>73</v>
      </c>
      <c r="C99" s="257" t="s">
        <v>143</v>
      </c>
      <c r="E99" s="328">
        <v>0.017060185185185185</v>
      </c>
      <c r="F99" s="360">
        <v>42014</v>
      </c>
      <c r="G99" s="369"/>
      <c r="H99" s="328"/>
      <c r="I99" s="328"/>
      <c r="J99" s="360"/>
      <c r="K99" s="369"/>
      <c r="L99" s="328">
        <f t="shared" si="6"/>
        <v>0.017060185185185185</v>
      </c>
      <c r="M99" s="312">
        <v>4</v>
      </c>
      <c r="N99" s="312">
        <v>27</v>
      </c>
      <c r="O99" s="83"/>
      <c r="P99" s="85"/>
      <c r="Q99" s="86"/>
    </row>
    <row r="100" spans="1:17" ht="15">
      <c r="A100" s="341">
        <f t="shared" si="5"/>
        <v>95</v>
      </c>
      <c r="B100" s="308" t="s">
        <v>251</v>
      </c>
      <c r="C100" s="308" t="s">
        <v>250</v>
      </c>
      <c r="E100" s="327">
        <v>0.01709490740740741</v>
      </c>
      <c r="F100" s="359">
        <v>42147</v>
      </c>
      <c r="G100" s="369"/>
      <c r="H100" s="327"/>
      <c r="I100" s="327"/>
      <c r="J100" s="359"/>
      <c r="K100" s="369"/>
      <c r="L100" s="327">
        <f t="shared" si="6"/>
        <v>0.01709490740740741</v>
      </c>
      <c r="M100" s="337">
        <v>23</v>
      </c>
      <c r="N100" s="310">
        <v>8</v>
      </c>
      <c r="O100" s="83"/>
      <c r="P100" s="85"/>
      <c r="Q100" s="86"/>
    </row>
    <row r="101" spans="1:17" ht="15">
      <c r="A101" s="341">
        <f t="shared" si="5"/>
        <v>96</v>
      </c>
      <c r="B101" s="257" t="s">
        <v>317</v>
      </c>
      <c r="C101" s="257" t="s">
        <v>116</v>
      </c>
      <c r="D101" s="15"/>
      <c r="E101" s="328">
        <v>0.01712962962962963</v>
      </c>
      <c r="F101" s="360">
        <v>42196</v>
      </c>
      <c r="G101" s="369"/>
      <c r="H101" s="328">
        <v>0.018125</v>
      </c>
      <c r="I101" s="328">
        <f>+H101*0.95</f>
        <v>0.017218749999999998</v>
      </c>
      <c r="J101" s="360">
        <v>42189</v>
      </c>
      <c r="K101" s="369"/>
      <c r="L101" s="328">
        <f t="shared" si="6"/>
        <v>0.01712962962962963</v>
      </c>
      <c r="M101" s="312">
        <v>5</v>
      </c>
      <c r="N101" s="312">
        <v>26</v>
      </c>
      <c r="O101" s="83"/>
      <c r="P101" s="85"/>
      <c r="Q101" s="86"/>
    </row>
    <row r="102" spans="1:15" ht="15">
      <c r="A102" s="341">
        <f t="shared" si="5"/>
        <v>97</v>
      </c>
      <c r="B102" s="339" t="s">
        <v>314</v>
      </c>
      <c r="C102" t="s">
        <v>307</v>
      </c>
      <c r="H102" s="232">
        <v>0.018171296296296297</v>
      </c>
      <c r="I102" s="232">
        <f>+H102*0.95</f>
        <v>0.01726273148148148</v>
      </c>
      <c r="J102" s="245">
        <v>42210</v>
      </c>
      <c r="K102" s="366"/>
      <c r="L102" s="363">
        <f t="shared" si="6"/>
        <v>0.01726273148148148</v>
      </c>
      <c r="O102" s="83"/>
    </row>
    <row r="103" spans="1:17" ht="15">
      <c r="A103" s="341">
        <f t="shared" si="5"/>
        <v>98</v>
      </c>
      <c r="B103" s="257" t="s">
        <v>139</v>
      </c>
      <c r="C103" s="257" t="s">
        <v>140</v>
      </c>
      <c r="E103" s="328">
        <v>0.017280092592592593</v>
      </c>
      <c r="F103" s="360">
        <v>42119</v>
      </c>
      <c r="G103" s="369"/>
      <c r="H103" s="328"/>
      <c r="I103" s="328"/>
      <c r="J103" s="360"/>
      <c r="K103" s="369"/>
      <c r="L103" s="328">
        <f t="shared" si="6"/>
        <v>0.017280092592592593</v>
      </c>
      <c r="M103" s="312">
        <v>6</v>
      </c>
      <c r="N103" s="312">
        <v>25</v>
      </c>
      <c r="O103" s="83"/>
      <c r="P103" s="85"/>
      <c r="Q103" s="86"/>
    </row>
    <row r="104" spans="1:17" ht="15">
      <c r="A104" s="341">
        <f t="shared" si="5"/>
        <v>99</v>
      </c>
      <c r="B104" s="257" t="s">
        <v>33</v>
      </c>
      <c r="C104" s="257" t="s">
        <v>123</v>
      </c>
      <c r="E104" s="328">
        <v>0.017407407407407406</v>
      </c>
      <c r="F104" s="360">
        <v>42105</v>
      </c>
      <c r="G104" s="369"/>
      <c r="H104" s="328"/>
      <c r="I104" s="328"/>
      <c r="J104" s="360"/>
      <c r="K104" s="369"/>
      <c r="L104" s="328">
        <f t="shared" si="6"/>
        <v>0.017407407407407406</v>
      </c>
      <c r="M104" s="312">
        <v>7</v>
      </c>
      <c r="N104" s="312">
        <v>24</v>
      </c>
      <c r="O104" s="83"/>
      <c r="P104" s="85"/>
      <c r="Q104" s="86"/>
    </row>
    <row r="105" spans="1:17" ht="15">
      <c r="A105" s="341">
        <f t="shared" si="5"/>
        <v>100</v>
      </c>
      <c r="B105" s="257" t="s">
        <v>321</v>
      </c>
      <c r="C105" s="257" t="s">
        <v>190</v>
      </c>
      <c r="E105" s="328">
        <v>0.01810185185185185</v>
      </c>
      <c r="F105" s="360">
        <v>42049</v>
      </c>
      <c r="G105" s="369"/>
      <c r="H105" s="328">
        <v>0.018657407407407407</v>
      </c>
      <c r="I105" s="328">
        <f>+H105*0.95</f>
        <v>0.017724537037037035</v>
      </c>
      <c r="J105" s="360">
        <v>42133</v>
      </c>
      <c r="K105" s="369"/>
      <c r="L105" s="328">
        <f t="shared" si="6"/>
        <v>0.017724537037037035</v>
      </c>
      <c r="M105" s="312">
        <v>8</v>
      </c>
      <c r="N105" s="312">
        <v>23</v>
      </c>
      <c r="O105" s="83"/>
      <c r="P105" s="85"/>
      <c r="Q105" s="86"/>
    </row>
    <row r="106" spans="1:24" ht="15">
      <c r="A106" s="341">
        <f t="shared" si="5"/>
        <v>101</v>
      </c>
      <c r="B106" t="s">
        <v>316</v>
      </c>
      <c r="C106" t="s">
        <v>617</v>
      </c>
      <c r="E106" s="232">
        <v>0.01915509259259259</v>
      </c>
      <c r="F106" s="245">
        <v>42294</v>
      </c>
      <c r="G106" s="366"/>
      <c r="H106" s="232">
        <v>0.018680555555555554</v>
      </c>
      <c r="I106" s="232">
        <f>+H106*0.95</f>
        <v>0.017746527777777774</v>
      </c>
      <c r="J106" s="245">
        <v>42336</v>
      </c>
      <c r="K106" s="366"/>
      <c r="L106" s="363">
        <f>MIN(I106,E106)</f>
        <v>0.017746527777777774</v>
      </c>
      <c r="O106" s="83"/>
      <c r="P106" s="233"/>
      <c r="Q106"/>
      <c r="R106"/>
      <c r="S106"/>
      <c r="T106"/>
      <c r="U106"/>
      <c r="V106"/>
      <c r="W106"/>
      <c r="X106"/>
    </row>
    <row r="107" spans="1:17" ht="15">
      <c r="A107" s="341">
        <f t="shared" si="5"/>
        <v>102</v>
      </c>
      <c r="B107" s="257" t="s">
        <v>73</v>
      </c>
      <c r="C107" s="257" t="s">
        <v>323</v>
      </c>
      <c r="E107" s="328">
        <v>0.01775462962962963</v>
      </c>
      <c r="F107" s="360">
        <v>42168</v>
      </c>
      <c r="G107" s="369"/>
      <c r="H107" s="328">
        <v>0.02050925925925926</v>
      </c>
      <c r="I107" s="328">
        <f>+H107*0.95</f>
        <v>0.019483796296296294</v>
      </c>
      <c r="J107" s="360">
        <v>42308</v>
      </c>
      <c r="K107" s="369"/>
      <c r="L107" s="328">
        <f t="shared" si="6"/>
        <v>0.01775462962962963</v>
      </c>
      <c r="M107" s="312">
        <v>9</v>
      </c>
      <c r="N107" s="312">
        <v>22</v>
      </c>
      <c r="O107" s="83"/>
      <c r="P107" s="85"/>
      <c r="Q107" s="86"/>
    </row>
    <row r="108" spans="1:17" ht="15">
      <c r="A108" s="341">
        <f t="shared" si="5"/>
        <v>103</v>
      </c>
      <c r="B108" s="314" t="s">
        <v>31</v>
      </c>
      <c r="C108" s="314" t="s">
        <v>325</v>
      </c>
      <c r="E108" s="329">
        <v>0.01851851851851852</v>
      </c>
      <c r="F108" s="361">
        <v>42154</v>
      </c>
      <c r="G108" s="369"/>
      <c r="H108" s="329">
        <v>0.01877314814814815</v>
      </c>
      <c r="I108" s="329">
        <f>+H108*0.95</f>
        <v>0.01783449074074074</v>
      </c>
      <c r="J108" s="361">
        <v>42189</v>
      </c>
      <c r="K108" s="369"/>
      <c r="L108" s="329">
        <f t="shared" si="6"/>
        <v>0.01783449074074074</v>
      </c>
      <c r="M108" s="316">
        <v>1</v>
      </c>
      <c r="N108" s="316">
        <v>30</v>
      </c>
      <c r="O108" s="83"/>
      <c r="P108" s="85"/>
      <c r="Q108" s="86"/>
    </row>
    <row r="109" spans="1:24" ht="15">
      <c r="A109" s="341">
        <f t="shared" si="5"/>
        <v>104</v>
      </c>
      <c r="B109" t="s">
        <v>650</v>
      </c>
      <c r="C109" t="s">
        <v>512</v>
      </c>
      <c r="E109" s="232">
        <v>0.017870370370370373</v>
      </c>
      <c r="F109" s="245">
        <v>42350</v>
      </c>
      <c r="G109" s="366"/>
      <c r="J109" s="245"/>
      <c r="K109" s="366"/>
      <c r="L109" s="363">
        <f t="shared" si="6"/>
        <v>0.017870370370370373</v>
      </c>
      <c r="M109" s="231"/>
      <c r="O109" s="83"/>
      <c r="P109" s="233"/>
      <c r="Q109"/>
      <c r="R109"/>
      <c r="S109"/>
      <c r="T109"/>
      <c r="U109"/>
      <c r="V109"/>
      <c r="W109"/>
      <c r="X109"/>
    </row>
    <row r="110" spans="1:17" ht="15">
      <c r="A110" s="341">
        <f t="shared" si="5"/>
        <v>105</v>
      </c>
      <c r="B110" s="257" t="s">
        <v>103</v>
      </c>
      <c r="C110" s="257" t="s">
        <v>151</v>
      </c>
      <c r="E110" s="328">
        <v>0.017951388888888888</v>
      </c>
      <c r="F110" s="360">
        <v>42007</v>
      </c>
      <c r="G110" s="369"/>
      <c r="H110" s="328">
        <v>0.019560185185185184</v>
      </c>
      <c r="I110" s="328">
        <f>+H110*0.95</f>
        <v>0.018582175925925922</v>
      </c>
      <c r="J110" s="360">
        <v>42287</v>
      </c>
      <c r="K110" s="369"/>
      <c r="L110" s="328">
        <f t="shared" si="6"/>
        <v>0.017951388888888888</v>
      </c>
      <c r="M110" s="312">
        <v>10</v>
      </c>
      <c r="N110" s="312">
        <v>21</v>
      </c>
      <c r="O110" s="83"/>
      <c r="P110" s="85"/>
      <c r="Q110" s="86"/>
    </row>
    <row r="111" spans="1:24" ht="15">
      <c r="A111" s="341">
        <f t="shared" si="5"/>
        <v>106</v>
      </c>
      <c r="B111" t="s">
        <v>239</v>
      </c>
      <c r="C111" t="s">
        <v>670</v>
      </c>
      <c r="E111" s="232">
        <v>0.517962962962963</v>
      </c>
      <c r="F111" s="245">
        <v>42363</v>
      </c>
      <c r="G111" s="366"/>
      <c r="J111" s="245"/>
      <c r="K111" s="366"/>
      <c r="L111" s="363">
        <f>MIN(I111,E111)</f>
        <v>0.517962962962963</v>
      </c>
      <c r="M111" s="231"/>
      <c r="O111" s="83"/>
      <c r="P111" s="233"/>
      <c r="Q111"/>
      <c r="R111"/>
      <c r="S111"/>
      <c r="T111"/>
      <c r="U111"/>
      <c r="V111"/>
      <c r="W111"/>
      <c r="X111"/>
    </row>
    <row r="112" spans="1:17" ht="15">
      <c r="A112" s="341">
        <f t="shared" si="5"/>
        <v>107</v>
      </c>
      <c r="B112" s="314" t="s">
        <v>378</v>
      </c>
      <c r="C112" s="314" t="s">
        <v>377</v>
      </c>
      <c r="E112" s="329">
        <v>0.018020833333333333</v>
      </c>
      <c r="F112" s="361">
        <v>42112</v>
      </c>
      <c r="G112" s="369"/>
      <c r="H112" s="329"/>
      <c r="I112" s="329"/>
      <c r="J112" s="361"/>
      <c r="K112" s="369"/>
      <c r="L112" s="329">
        <f t="shared" si="6"/>
        <v>0.018020833333333333</v>
      </c>
      <c r="M112" s="316">
        <v>2</v>
      </c>
      <c r="N112" s="316">
        <v>29</v>
      </c>
      <c r="O112" s="83"/>
      <c r="P112" s="85"/>
      <c r="Q112" s="86"/>
    </row>
    <row r="113" spans="1:16" ht="15">
      <c r="A113" s="341">
        <f t="shared" si="5"/>
        <v>108</v>
      </c>
      <c r="B113" t="s">
        <v>187</v>
      </c>
      <c r="C113" t="s">
        <v>551</v>
      </c>
      <c r="D113" s="15"/>
      <c r="E113" s="342">
        <v>0.018055555555555557</v>
      </c>
      <c r="F113" s="245">
        <v>42336</v>
      </c>
      <c r="G113" s="366"/>
      <c r="H113" s="342"/>
      <c r="I113" s="342"/>
      <c r="J113" s="245"/>
      <c r="K113" s="366"/>
      <c r="L113" s="363">
        <f>MIN(I113,E113)</f>
        <v>0.018055555555555557</v>
      </c>
      <c r="M113" s="231"/>
      <c r="O113" s="83"/>
      <c r="P113" s="233"/>
    </row>
    <row r="114" spans="1:17" ht="15">
      <c r="A114" s="341">
        <f t="shared" si="5"/>
        <v>109</v>
      </c>
      <c r="B114" s="257" t="s">
        <v>367</v>
      </c>
      <c r="C114" s="257" t="s">
        <v>167</v>
      </c>
      <c r="E114" s="328">
        <v>0.021747685185185186</v>
      </c>
      <c r="F114" s="360">
        <v>42245</v>
      </c>
      <c r="G114" s="369"/>
      <c r="H114" s="328">
        <v>0.019016203703703705</v>
      </c>
      <c r="I114" s="328">
        <f>+H114*0.95</f>
        <v>0.01806539351851852</v>
      </c>
      <c r="J114" s="360">
        <v>42133</v>
      </c>
      <c r="K114" s="369"/>
      <c r="L114" s="328">
        <f t="shared" si="6"/>
        <v>0.01806539351851852</v>
      </c>
      <c r="M114" s="312">
        <v>11</v>
      </c>
      <c r="N114" s="312">
        <v>20</v>
      </c>
      <c r="O114" s="83"/>
      <c r="P114" s="85"/>
      <c r="Q114" s="86"/>
    </row>
    <row r="115" spans="1:17" ht="15">
      <c r="A115" s="341">
        <f t="shared" si="5"/>
        <v>110</v>
      </c>
      <c r="B115" s="257" t="s">
        <v>63</v>
      </c>
      <c r="C115" s="257" t="s">
        <v>178</v>
      </c>
      <c r="D115" s="15"/>
      <c r="E115" s="328">
        <v>0.019074074074074073</v>
      </c>
      <c r="F115" s="360">
        <v>42357</v>
      </c>
      <c r="G115" s="369"/>
      <c r="H115" s="328">
        <v>0.01912037037037037</v>
      </c>
      <c r="I115" s="328">
        <f>+H115*0.95</f>
        <v>0.01816435185185185</v>
      </c>
      <c r="J115" s="360">
        <v>42224</v>
      </c>
      <c r="K115" s="369"/>
      <c r="L115" s="328">
        <f t="shared" si="6"/>
        <v>0.01816435185185185</v>
      </c>
      <c r="M115" s="312">
        <v>12</v>
      </c>
      <c r="N115" s="312">
        <v>19</v>
      </c>
      <c r="O115" s="83"/>
      <c r="P115" s="85"/>
      <c r="Q115" s="86"/>
    </row>
    <row r="116" spans="1:17" ht="15">
      <c r="A116" s="341">
        <f t="shared" si="5"/>
        <v>111</v>
      </c>
      <c r="B116" s="314" t="s">
        <v>237</v>
      </c>
      <c r="C116" s="314" t="s">
        <v>271</v>
      </c>
      <c r="E116" s="329"/>
      <c r="F116" s="361"/>
      <c r="G116" s="369"/>
      <c r="H116" s="329">
        <v>0.019224537037037037</v>
      </c>
      <c r="I116" s="329">
        <f>+H116*0.95</f>
        <v>0.018263310185185185</v>
      </c>
      <c r="J116" s="361">
        <v>42217</v>
      </c>
      <c r="K116" s="369"/>
      <c r="L116" s="329">
        <f t="shared" si="6"/>
        <v>0.018263310185185185</v>
      </c>
      <c r="M116" s="316">
        <v>3</v>
      </c>
      <c r="N116" s="316">
        <v>28</v>
      </c>
      <c r="O116" s="83"/>
      <c r="P116" s="85"/>
      <c r="Q116" s="86"/>
    </row>
    <row r="117" spans="1:17" ht="15">
      <c r="A117" s="341">
        <f t="shared" si="5"/>
        <v>112</v>
      </c>
      <c r="B117" s="308" t="s">
        <v>414</v>
      </c>
      <c r="C117" s="308" t="s">
        <v>415</v>
      </c>
      <c r="D117" s="15"/>
      <c r="E117" s="327">
        <v>0.018287037037037036</v>
      </c>
      <c r="F117" s="359">
        <v>42105</v>
      </c>
      <c r="G117" s="369"/>
      <c r="H117" s="327"/>
      <c r="I117" s="327"/>
      <c r="J117" s="359"/>
      <c r="K117" s="369"/>
      <c r="L117" s="327">
        <f t="shared" si="6"/>
        <v>0.018287037037037036</v>
      </c>
      <c r="M117" s="310">
        <v>24</v>
      </c>
      <c r="N117" s="310">
        <v>7</v>
      </c>
      <c r="O117" s="83"/>
      <c r="P117" s="85"/>
      <c r="Q117" s="86"/>
    </row>
    <row r="118" spans="1:15" ht="15">
      <c r="A118" s="341">
        <f t="shared" si="5"/>
        <v>113</v>
      </c>
      <c r="B118" s="339" t="s">
        <v>158</v>
      </c>
      <c r="C118" s="339" t="s">
        <v>573</v>
      </c>
      <c r="H118" s="232">
        <v>0.019270833333333334</v>
      </c>
      <c r="I118" s="232">
        <f>+H118*0.95</f>
        <v>0.018307291666666666</v>
      </c>
      <c r="J118" s="245">
        <v>42189</v>
      </c>
      <c r="K118" s="366"/>
      <c r="L118" s="363">
        <f aca="true" t="shared" si="7" ref="L118:L157">MIN(I118,E118)</f>
        <v>0.018307291666666666</v>
      </c>
      <c r="O118" s="83"/>
    </row>
    <row r="119" spans="1:24" ht="15">
      <c r="A119" s="341">
        <f t="shared" si="5"/>
        <v>114</v>
      </c>
      <c r="B119" t="s">
        <v>430</v>
      </c>
      <c r="C119" t="s">
        <v>135</v>
      </c>
      <c r="E119" s="232">
        <v>0.01834490740740741</v>
      </c>
      <c r="F119" s="245">
        <v>42049</v>
      </c>
      <c r="G119" s="366"/>
      <c r="J119" s="245"/>
      <c r="K119" s="366"/>
      <c r="L119" s="363">
        <f t="shared" si="7"/>
        <v>0.01834490740740741</v>
      </c>
      <c r="M119" s="231"/>
      <c r="O119" s="83"/>
      <c r="P119" s="233"/>
      <c r="Q119"/>
      <c r="R119"/>
      <c r="S119"/>
      <c r="T119"/>
      <c r="U119"/>
      <c r="V119"/>
      <c r="W119"/>
      <c r="X119"/>
    </row>
    <row r="120" spans="1:17" ht="15">
      <c r="A120" s="341">
        <f t="shared" si="5"/>
        <v>115</v>
      </c>
      <c r="B120" s="314" t="s">
        <v>334</v>
      </c>
      <c r="C120" s="314" t="s">
        <v>335</v>
      </c>
      <c r="E120" s="329">
        <v>0.018356481481481484</v>
      </c>
      <c r="F120" s="361">
        <v>42126</v>
      </c>
      <c r="G120" s="369"/>
      <c r="H120" s="329"/>
      <c r="I120" s="329"/>
      <c r="J120" s="361"/>
      <c r="K120" s="369"/>
      <c r="L120" s="329">
        <f t="shared" si="7"/>
        <v>0.018356481481481484</v>
      </c>
      <c r="M120" s="316">
        <v>4</v>
      </c>
      <c r="N120" s="316">
        <v>27</v>
      </c>
      <c r="O120" s="83"/>
      <c r="P120" s="85"/>
      <c r="Q120" s="86"/>
    </row>
    <row r="121" spans="1:17" ht="15">
      <c r="A121" s="341">
        <f t="shared" si="5"/>
        <v>116</v>
      </c>
      <c r="B121" s="257" t="s">
        <v>96</v>
      </c>
      <c r="C121" s="257" t="s">
        <v>296</v>
      </c>
      <c r="E121" s="328"/>
      <c r="F121" s="360"/>
      <c r="G121" s="369"/>
      <c r="H121" s="328">
        <v>0.019398148148148147</v>
      </c>
      <c r="I121" s="328">
        <f>+H121*0.95</f>
        <v>0.018428240740740738</v>
      </c>
      <c r="J121" s="360">
        <v>42217</v>
      </c>
      <c r="K121" s="369"/>
      <c r="L121" s="328">
        <f t="shared" si="7"/>
        <v>0.018428240740740738</v>
      </c>
      <c r="M121" s="312">
        <v>13</v>
      </c>
      <c r="N121" s="312">
        <v>18</v>
      </c>
      <c r="O121" s="83"/>
      <c r="P121" s="85"/>
      <c r="Q121" s="86"/>
    </row>
    <row r="122" spans="1:15" ht="15">
      <c r="A122" s="341">
        <f t="shared" si="5"/>
        <v>117</v>
      </c>
      <c r="B122" s="318" t="s">
        <v>228</v>
      </c>
      <c r="C122" s="318" t="s">
        <v>244</v>
      </c>
      <c r="E122" s="330">
        <v>0.02217592592592593</v>
      </c>
      <c r="F122" s="362">
        <v>42175</v>
      </c>
      <c r="G122" s="370"/>
      <c r="H122" s="330">
        <v>0.01943287037037037</v>
      </c>
      <c r="I122" s="330">
        <f>+H122*0.95</f>
        <v>0.01846122685185185</v>
      </c>
      <c r="J122" s="362">
        <v>42252</v>
      </c>
      <c r="K122" s="370"/>
      <c r="L122" s="330">
        <f>MIN(I122,E122)</f>
        <v>0.01846122685185185</v>
      </c>
      <c r="M122" s="320">
        <v>1</v>
      </c>
      <c r="N122" s="320">
        <v>30</v>
      </c>
      <c r="O122" s="83"/>
    </row>
    <row r="123" spans="1:24" ht="15">
      <c r="A123" s="341">
        <f t="shared" si="5"/>
        <v>118</v>
      </c>
      <c r="B123" s="15" t="s">
        <v>460</v>
      </c>
      <c r="C123" s="86" t="s">
        <v>462</v>
      </c>
      <c r="D123" s="86"/>
      <c r="E123" s="232">
        <v>0.018900462962962963</v>
      </c>
      <c r="F123" s="79">
        <v>42168</v>
      </c>
      <c r="G123" s="79"/>
      <c r="H123" s="232">
        <v>0.019675925925925927</v>
      </c>
      <c r="I123" s="232">
        <f>+H123*0.95</f>
        <v>0.018692129629629628</v>
      </c>
      <c r="J123" s="245">
        <v>42210</v>
      </c>
      <c r="K123" s="366"/>
      <c r="L123" s="363">
        <f t="shared" si="7"/>
        <v>0.018692129629629628</v>
      </c>
      <c r="M123" s="84"/>
      <c r="N123" s="84"/>
      <c r="O123" s="83"/>
      <c r="X123" s="85"/>
    </row>
    <row r="124" spans="1:15" ht="15">
      <c r="A124" s="341">
        <f t="shared" si="5"/>
        <v>119</v>
      </c>
      <c r="B124" t="s">
        <v>107</v>
      </c>
      <c r="C124" t="s">
        <v>485</v>
      </c>
      <c r="G124" s="15"/>
      <c r="H124" s="232">
        <v>0.0196875</v>
      </c>
      <c r="I124" s="232">
        <f>+H124*0.95</f>
        <v>0.018703124999999998</v>
      </c>
      <c r="J124" s="245">
        <v>42133</v>
      </c>
      <c r="K124" s="366"/>
      <c r="L124" s="363">
        <f t="shared" si="7"/>
        <v>0.018703124999999998</v>
      </c>
      <c r="O124" s="83"/>
    </row>
    <row r="125" spans="1:16" ht="15">
      <c r="A125" s="341">
        <f t="shared" si="5"/>
        <v>120</v>
      </c>
      <c r="B125" t="s">
        <v>624</v>
      </c>
      <c r="C125" t="s">
        <v>625</v>
      </c>
      <c r="D125" s="15"/>
      <c r="E125" s="232">
        <v>0.018703703703703705</v>
      </c>
      <c r="F125" s="245">
        <v>42287</v>
      </c>
      <c r="G125" s="366"/>
      <c r="J125" s="245"/>
      <c r="K125" s="366"/>
      <c r="L125" s="363">
        <f>MIN(I125,E125)</f>
        <v>0.018703703703703705</v>
      </c>
      <c r="M125" s="231"/>
      <c r="O125" s="83"/>
      <c r="P125" s="233"/>
    </row>
    <row r="126" spans="1:17" ht="15">
      <c r="A126" s="341">
        <f t="shared" si="5"/>
        <v>121</v>
      </c>
      <c r="B126" s="257" t="s">
        <v>176</v>
      </c>
      <c r="C126" s="257" t="s">
        <v>177</v>
      </c>
      <c r="E126" s="328">
        <v>0.018726851851851852</v>
      </c>
      <c r="F126" s="360">
        <v>42007</v>
      </c>
      <c r="G126" s="369"/>
      <c r="H126" s="328"/>
      <c r="I126" s="328"/>
      <c r="J126" s="360"/>
      <c r="K126" s="369"/>
      <c r="L126" s="328">
        <f t="shared" si="7"/>
        <v>0.018726851851851852</v>
      </c>
      <c r="M126" s="312">
        <v>14</v>
      </c>
      <c r="N126" s="312">
        <v>17</v>
      </c>
      <c r="O126" s="83"/>
      <c r="P126" s="85"/>
      <c r="Q126" s="86"/>
    </row>
    <row r="127" spans="1:17" ht="15">
      <c r="A127" s="341">
        <f t="shared" si="5"/>
        <v>122</v>
      </c>
      <c r="B127" s="314" t="s">
        <v>379</v>
      </c>
      <c r="C127" s="314" t="s">
        <v>341</v>
      </c>
      <c r="D127" s="15"/>
      <c r="E127" s="329">
        <v>0.018738425925925926</v>
      </c>
      <c r="F127" s="361">
        <v>42154</v>
      </c>
      <c r="G127" s="369"/>
      <c r="H127" s="329">
        <v>0.02082175925925926</v>
      </c>
      <c r="I127" s="329">
        <f>+H127*0.95</f>
        <v>0.019780671296296296</v>
      </c>
      <c r="J127" s="361">
        <v>42189</v>
      </c>
      <c r="K127" s="369"/>
      <c r="L127" s="329">
        <f t="shared" si="7"/>
        <v>0.018738425925925926</v>
      </c>
      <c r="M127" s="316">
        <v>5</v>
      </c>
      <c r="N127" s="316">
        <v>26</v>
      </c>
      <c r="O127" s="83"/>
      <c r="P127" s="85"/>
      <c r="Q127" s="86"/>
    </row>
    <row r="128" spans="1:17" ht="15">
      <c r="A128" s="341">
        <f t="shared" si="5"/>
        <v>123</v>
      </c>
      <c r="B128" s="257" t="s">
        <v>102</v>
      </c>
      <c r="C128" s="257" t="s">
        <v>157</v>
      </c>
      <c r="D128" s="15"/>
      <c r="E128" s="328">
        <v>0.018958333333333334</v>
      </c>
      <c r="F128" s="360">
        <v>42154</v>
      </c>
      <c r="G128" s="369"/>
      <c r="H128" s="328">
        <v>0.019872685185185184</v>
      </c>
      <c r="I128" s="328">
        <f>+H128*0.95</f>
        <v>0.018879050925925924</v>
      </c>
      <c r="J128" s="360">
        <v>42273</v>
      </c>
      <c r="K128" s="369"/>
      <c r="L128" s="328">
        <f t="shared" si="7"/>
        <v>0.018879050925925924</v>
      </c>
      <c r="M128" s="312">
        <v>15</v>
      </c>
      <c r="N128" s="312">
        <v>16</v>
      </c>
      <c r="O128" s="83"/>
      <c r="P128" s="85"/>
      <c r="Q128" s="86"/>
    </row>
    <row r="129" spans="1:17" ht="15">
      <c r="A129" s="341">
        <f t="shared" si="5"/>
        <v>124</v>
      </c>
      <c r="B129" s="314" t="s">
        <v>186</v>
      </c>
      <c r="C129" s="314" t="s">
        <v>163</v>
      </c>
      <c r="E129" s="329">
        <v>0.018958333333333334</v>
      </c>
      <c r="F129" s="361">
        <v>42084</v>
      </c>
      <c r="G129" s="369"/>
      <c r="H129" s="329"/>
      <c r="I129" s="329"/>
      <c r="J129" s="361"/>
      <c r="K129" s="369"/>
      <c r="L129" s="329">
        <f t="shared" si="7"/>
        <v>0.018958333333333334</v>
      </c>
      <c r="M129" s="316">
        <v>6</v>
      </c>
      <c r="N129" s="316">
        <v>25</v>
      </c>
      <c r="O129" s="83"/>
      <c r="P129" s="85"/>
      <c r="Q129" s="86"/>
    </row>
    <row r="130" spans="1:24" ht="15">
      <c r="A130" s="341">
        <f t="shared" si="5"/>
        <v>125</v>
      </c>
      <c r="B130" t="s">
        <v>385</v>
      </c>
      <c r="C130" t="s">
        <v>163</v>
      </c>
      <c r="E130" s="232">
        <v>0.01898148148148148</v>
      </c>
      <c r="F130" s="245">
        <v>42084</v>
      </c>
      <c r="G130" s="366"/>
      <c r="J130" s="245"/>
      <c r="K130" s="366"/>
      <c r="L130" s="363">
        <f t="shared" si="7"/>
        <v>0.01898148148148148</v>
      </c>
      <c r="M130" s="231"/>
      <c r="O130" s="83"/>
      <c r="P130" s="233"/>
      <c r="Q130"/>
      <c r="R130"/>
      <c r="S130"/>
      <c r="T130"/>
      <c r="U130"/>
      <c r="V130"/>
      <c r="W130"/>
      <c r="X130"/>
    </row>
    <row r="131" spans="1:17" ht="15">
      <c r="A131" s="341">
        <f t="shared" si="5"/>
        <v>126</v>
      </c>
      <c r="B131" s="314" t="s">
        <v>194</v>
      </c>
      <c r="C131" s="314" t="s">
        <v>145</v>
      </c>
      <c r="E131" s="329">
        <v>0.019039351851851852</v>
      </c>
      <c r="F131" s="361">
        <v>42273</v>
      </c>
      <c r="G131" s="369"/>
      <c r="H131" s="329"/>
      <c r="I131" s="329"/>
      <c r="J131" s="361"/>
      <c r="K131" s="369"/>
      <c r="L131" s="329">
        <f>MIN(I131,E131)</f>
        <v>0.019039351851851852</v>
      </c>
      <c r="M131" s="316">
        <v>7</v>
      </c>
      <c r="N131" s="316">
        <v>24</v>
      </c>
      <c r="O131" s="83"/>
      <c r="P131" s="85"/>
      <c r="Q131" s="86"/>
    </row>
    <row r="132" spans="1:16" ht="15">
      <c r="A132" s="341">
        <f t="shared" si="5"/>
        <v>127</v>
      </c>
      <c r="B132" t="s">
        <v>574</v>
      </c>
      <c r="C132" t="s">
        <v>575</v>
      </c>
      <c r="D132" s="15"/>
      <c r="E132" s="342">
        <v>0.019039351851851852</v>
      </c>
      <c r="F132" s="245">
        <v>42322</v>
      </c>
      <c r="G132" s="366"/>
      <c r="H132" s="342"/>
      <c r="I132" s="342"/>
      <c r="J132" s="245"/>
      <c r="K132" s="366"/>
      <c r="L132" s="363">
        <f>MIN(I132,E132)</f>
        <v>0.019039351851851852</v>
      </c>
      <c r="M132" s="231"/>
      <c r="O132" s="83"/>
      <c r="P132" s="233"/>
    </row>
    <row r="133" spans="1:16" ht="15">
      <c r="A133" s="341">
        <f t="shared" si="5"/>
        <v>128</v>
      </c>
      <c r="B133" t="s">
        <v>305</v>
      </c>
      <c r="C133" t="s">
        <v>631</v>
      </c>
      <c r="D133" s="15"/>
      <c r="E133" s="342">
        <v>0.019074074074074073</v>
      </c>
      <c r="F133" s="245">
        <v>42287</v>
      </c>
      <c r="G133" s="366"/>
      <c r="H133" s="342"/>
      <c r="I133" s="342"/>
      <c r="J133" s="245"/>
      <c r="K133" s="366"/>
      <c r="L133" s="363">
        <f>MIN(I133,E133)</f>
        <v>0.019074074074074073</v>
      </c>
      <c r="M133" s="231"/>
      <c r="O133" s="83"/>
      <c r="P133" s="233"/>
    </row>
    <row r="134" spans="1:17" ht="15">
      <c r="A134" s="341">
        <f t="shared" si="5"/>
        <v>129</v>
      </c>
      <c r="B134" s="15" t="s">
        <v>414</v>
      </c>
      <c r="C134" s="15" t="s">
        <v>636</v>
      </c>
      <c r="E134" s="372">
        <v>0.019085648148148147</v>
      </c>
      <c r="F134" s="369">
        <v>42308</v>
      </c>
      <c r="G134" s="369"/>
      <c r="H134" s="448"/>
      <c r="I134" s="448"/>
      <c r="J134" s="369"/>
      <c r="K134" s="369"/>
      <c r="L134" s="372">
        <f>MIN(I134,E134)</f>
        <v>0.019085648148148147</v>
      </c>
      <c r="M134" s="84"/>
      <c r="N134" s="84"/>
      <c r="O134" s="83"/>
      <c r="P134" s="85"/>
      <c r="Q134" s="86"/>
    </row>
    <row r="135" spans="1:15" ht="15">
      <c r="A135" s="341">
        <f t="shared" si="5"/>
        <v>130</v>
      </c>
      <c r="B135" t="s">
        <v>366</v>
      </c>
      <c r="C135" t="s">
        <v>110</v>
      </c>
      <c r="D135" s="231"/>
      <c r="E135" s="342">
        <v>0.01923611111111111</v>
      </c>
      <c r="F135" s="245">
        <v>42217</v>
      </c>
      <c r="I135" s="83"/>
      <c r="J135" s="233"/>
      <c r="L135" s="363">
        <f t="shared" si="7"/>
        <v>0.01923611111111111</v>
      </c>
      <c r="O135" s="83"/>
    </row>
    <row r="136" spans="1:16" ht="15">
      <c r="A136" s="341">
        <f aca="true" t="shared" si="8" ref="A136:A199">1+A135</f>
        <v>131</v>
      </c>
      <c r="B136" t="s">
        <v>434</v>
      </c>
      <c r="C136" t="s">
        <v>433</v>
      </c>
      <c r="D136" s="15"/>
      <c r="E136" s="232">
        <v>0.01925925925925926</v>
      </c>
      <c r="F136" s="245">
        <v>42175</v>
      </c>
      <c r="G136" s="366"/>
      <c r="J136" s="245"/>
      <c r="K136" s="366"/>
      <c r="L136" s="363">
        <f t="shared" si="7"/>
        <v>0.01925925925925926</v>
      </c>
      <c r="M136" s="231"/>
      <c r="O136" s="83"/>
      <c r="P136" s="233"/>
    </row>
    <row r="137" spans="1:17" ht="15">
      <c r="A137" s="341">
        <f t="shared" si="8"/>
        <v>132</v>
      </c>
      <c r="B137" s="314" t="s">
        <v>332</v>
      </c>
      <c r="C137" s="314" t="s">
        <v>333</v>
      </c>
      <c r="E137" s="329">
        <v>0.019363425925925926</v>
      </c>
      <c r="F137" s="361">
        <v>42161</v>
      </c>
      <c r="G137" s="369"/>
      <c r="H137" s="329"/>
      <c r="I137" s="329"/>
      <c r="J137" s="361"/>
      <c r="K137" s="369"/>
      <c r="L137" s="329">
        <f t="shared" si="7"/>
        <v>0.019363425925925926</v>
      </c>
      <c r="M137" s="316">
        <v>8</v>
      </c>
      <c r="N137" s="316">
        <v>23</v>
      </c>
      <c r="O137" s="83"/>
      <c r="P137" s="85"/>
      <c r="Q137" s="86"/>
    </row>
    <row r="138" spans="1:17" ht="15">
      <c r="A138" s="341">
        <f t="shared" si="8"/>
        <v>133</v>
      </c>
      <c r="B138" s="257" t="s">
        <v>183</v>
      </c>
      <c r="C138" s="257" t="s">
        <v>184</v>
      </c>
      <c r="D138" s="15"/>
      <c r="E138" s="328">
        <v>0.019375</v>
      </c>
      <c r="F138" s="360">
        <v>42154</v>
      </c>
      <c r="G138" s="369"/>
      <c r="H138" s="328">
        <v>0.020405092592592593</v>
      </c>
      <c r="I138" s="328">
        <f>+H138*0.95</f>
        <v>0.01938483796296296</v>
      </c>
      <c r="J138" s="360">
        <v>42273</v>
      </c>
      <c r="K138" s="369"/>
      <c r="L138" s="328">
        <f t="shared" si="7"/>
        <v>0.019375</v>
      </c>
      <c r="M138" s="420" t="s">
        <v>602</v>
      </c>
      <c r="N138" s="312">
        <v>15</v>
      </c>
      <c r="O138" s="83"/>
      <c r="P138" s="85"/>
      <c r="Q138" s="86"/>
    </row>
    <row r="139" spans="1:17" ht="15">
      <c r="A139" s="341">
        <f t="shared" si="8"/>
        <v>134</v>
      </c>
      <c r="B139" s="257" t="s">
        <v>521</v>
      </c>
      <c r="C139" s="257" t="s">
        <v>145</v>
      </c>
      <c r="E139" s="328">
        <v>0.019375</v>
      </c>
      <c r="F139" s="360">
        <v>42266</v>
      </c>
      <c r="G139" s="369"/>
      <c r="H139" s="328"/>
      <c r="I139" s="328"/>
      <c r="J139" s="360"/>
      <c r="K139" s="369"/>
      <c r="L139" s="328">
        <f>MIN(I139,E139)</f>
        <v>0.019375</v>
      </c>
      <c r="M139" s="420" t="s">
        <v>602</v>
      </c>
      <c r="N139" s="312">
        <v>15</v>
      </c>
      <c r="O139" s="83"/>
      <c r="P139" s="85"/>
      <c r="Q139" s="86"/>
    </row>
    <row r="140" spans="1:17" ht="15">
      <c r="A140" s="341">
        <f t="shared" si="8"/>
        <v>135</v>
      </c>
      <c r="B140" s="314" t="s">
        <v>191</v>
      </c>
      <c r="C140" s="314" t="s">
        <v>192</v>
      </c>
      <c r="E140" s="329"/>
      <c r="F140" s="361"/>
      <c r="G140" s="369"/>
      <c r="H140" s="329">
        <v>0.02054398148148148</v>
      </c>
      <c r="I140" s="329">
        <f>+H140*0.95</f>
        <v>0.019516782407407403</v>
      </c>
      <c r="J140" s="361">
        <v>42238</v>
      </c>
      <c r="K140" s="369"/>
      <c r="L140" s="329">
        <f>MIN(I140,E140)</f>
        <v>0.019516782407407403</v>
      </c>
      <c r="M140" s="316">
        <v>9</v>
      </c>
      <c r="N140" s="316">
        <v>22</v>
      </c>
      <c r="O140" s="83"/>
      <c r="P140" s="85"/>
      <c r="Q140" s="86"/>
    </row>
    <row r="141" spans="1:15" ht="15">
      <c r="A141" s="341">
        <f t="shared" si="8"/>
        <v>136</v>
      </c>
      <c r="B141" s="318" t="s">
        <v>249</v>
      </c>
      <c r="C141" s="318" t="s">
        <v>210</v>
      </c>
      <c r="D141" s="15"/>
      <c r="E141" s="330">
        <v>0.01990740740740741</v>
      </c>
      <c r="F141" s="362">
        <v>42203</v>
      </c>
      <c r="G141" s="370"/>
      <c r="H141" s="330">
        <v>0.020613425925925927</v>
      </c>
      <c r="I141" s="330">
        <f>+H141*0.95</f>
        <v>0.01958275462962963</v>
      </c>
      <c r="J141" s="362">
        <v>42098</v>
      </c>
      <c r="K141" s="370"/>
      <c r="L141" s="330">
        <f t="shared" si="7"/>
        <v>0.01958275462962963</v>
      </c>
      <c r="M141" s="320">
        <v>2</v>
      </c>
      <c r="N141" s="320">
        <v>29</v>
      </c>
      <c r="O141" s="83"/>
    </row>
    <row r="142" spans="1:17" ht="15">
      <c r="A142" s="341">
        <f t="shared" si="8"/>
        <v>137</v>
      </c>
      <c r="B142" s="257" t="s">
        <v>366</v>
      </c>
      <c r="C142" s="257" t="s">
        <v>365</v>
      </c>
      <c r="D142" s="15"/>
      <c r="E142" s="328">
        <v>0.019594907407407405</v>
      </c>
      <c r="F142" s="360">
        <v>42245</v>
      </c>
      <c r="G142" s="369"/>
      <c r="H142" s="328"/>
      <c r="I142" s="328"/>
      <c r="J142" s="360"/>
      <c r="K142" s="369"/>
      <c r="L142" s="328">
        <f>MIN(I142,E142)</f>
        <v>0.019594907407407405</v>
      </c>
      <c r="M142" s="312">
        <v>18</v>
      </c>
      <c r="N142" s="312">
        <v>13</v>
      </c>
      <c r="O142" s="83"/>
      <c r="P142" s="85"/>
      <c r="Q142" s="86"/>
    </row>
    <row r="143" spans="1:15" ht="15">
      <c r="A143" s="341">
        <f t="shared" si="8"/>
        <v>138</v>
      </c>
      <c r="B143" s="15" t="s">
        <v>201</v>
      </c>
      <c r="C143" s="86" t="s">
        <v>463</v>
      </c>
      <c r="D143" s="86"/>
      <c r="E143" s="232">
        <v>0.0196875</v>
      </c>
      <c r="F143" s="79">
        <v>42287</v>
      </c>
      <c r="G143" s="79"/>
      <c r="J143" s="79"/>
      <c r="K143" s="79"/>
      <c r="L143" s="363">
        <f>MIN(I143,E143)</f>
        <v>0.0196875</v>
      </c>
      <c r="M143" s="15"/>
      <c r="N143" s="15"/>
      <c r="O143" s="83"/>
    </row>
    <row r="144" spans="1:15" ht="15">
      <c r="A144" s="341">
        <f t="shared" si="8"/>
        <v>139</v>
      </c>
      <c r="B144" s="318" t="s">
        <v>213</v>
      </c>
      <c r="C144" s="318" t="s">
        <v>212</v>
      </c>
      <c r="D144" s="15"/>
      <c r="E144" s="330">
        <v>0.01974537037037037</v>
      </c>
      <c r="F144" s="362">
        <v>42175</v>
      </c>
      <c r="G144" s="370"/>
      <c r="H144" s="330">
        <v>0.033796296296296297</v>
      </c>
      <c r="I144" s="330">
        <f>+H144*0.95</f>
        <v>0.03210648148148148</v>
      </c>
      <c r="J144" s="362">
        <v>42231</v>
      </c>
      <c r="K144" s="370"/>
      <c r="L144" s="330">
        <f t="shared" si="7"/>
        <v>0.01974537037037037</v>
      </c>
      <c r="M144" s="320">
        <v>3</v>
      </c>
      <c r="N144" s="320">
        <v>28</v>
      </c>
      <c r="O144" s="83"/>
    </row>
    <row r="145" spans="1:15" ht="15">
      <c r="A145" s="341">
        <f t="shared" si="8"/>
        <v>140</v>
      </c>
      <c r="B145" s="318" t="s">
        <v>383</v>
      </c>
      <c r="C145" s="318" t="s">
        <v>382</v>
      </c>
      <c r="D145" s="15"/>
      <c r="E145" s="330">
        <v>0.019791666666666666</v>
      </c>
      <c r="F145" s="362">
        <v>42175</v>
      </c>
      <c r="G145" s="370"/>
      <c r="H145" s="330">
        <v>0.02130787037037037</v>
      </c>
      <c r="I145" s="330">
        <f>+H145*0.95</f>
        <v>0.02024247685185185</v>
      </c>
      <c r="J145" s="362">
        <v>42252</v>
      </c>
      <c r="K145" s="370"/>
      <c r="L145" s="330">
        <f t="shared" si="7"/>
        <v>0.019791666666666666</v>
      </c>
      <c r="M145" s="320">
        <v>4</v>
      </c>
      <c r="N145" s="320">
        <v>27</v>
      </c>
      <c r="O145" s="83"/>
    </row>
    <row r="146" spans="1:17" ht="15">
      <c r="A146" s="341">
        <f t="shared" si="8"/>
        <v>141</v>
      </c>
      <c r="B146" s="314" t="s">
        <v>61</v>
      </c>
      <c r="C146" s="314" t="s">
        <v>254</v>
      </c>
      <c r="E146" s="329">
        <v>0.019791666666666666</v>
      </c>
      <c r="F146" s="361">
        <v>42336</v>
      </c>
      <c r="G146" s="369"/>
      <c r="H146" s="329"/>
      <c r="I146" s="329"/>
      <c r="J146" s="361"/>
      <c r="K146" s="369"/>
      <c r="L146" s="329">
        <f>MIN(I146,E146)</f>
        <v>0.019791666666666666</v>
      </c>
      <c r="M146" s="316">
        <v>10</v>
      </c>
      <c r="N146" s="316">
        <v>21</v>
      </c>
      <c r="O146" s="83"/>
      <c r="P146" s="85"/>
      <c r="Q146" s="86"/>
    </row>
    <row r="147" spans="1:15" ht="15">
      <c r="A147" s="341">
        <f t="shared" si="8"/>
        <v>142</v>
      </c>
      <c r="B147" t="s">
        <v>220</v>
      </c>
      <c r="C147" t="s">
        <v>472</v>
      </c>
      <c r="G147" s="15"/>
      <c r="H147" s="232">
        <v>0.02085648148148148</v>
      </c>
      <c r="I147" s="232">
        <f>+H147*0.95</f>
        <v>0.019813657407407405</v>
      </c>
      <c r="J147" s="245">
        <v>42252</v>
      </c>
      <c r="K147" s="366"/>
      <c r="L147" s="363">
        <f>MIN(I147,E147)</f>
        <v>0.019813657407407405</v>
      </c>
      <c r="O147" s="83"/>
    </row>
    <row r="148" spans="1:15" ht="15">
      <c r="A148" s="341">
        <f t="shared" si="8"/>
        <v>143</v>
      </c>
      <c r="B148" s="318" t="s">
        <v>265</v>
      </c>
      <c r="C148" s="318" t="s">
        <v>264</v>
      </c>
      <c r="E148" s="330"/>
      <c r="F148" s="362"/>
      <c r="G148" s="370"/>
      <c r="H148" s="330">
        <v>0.020868055555555556</v>
      </c>
      <c r="I148" s="330">
        <f>+H148*0.95</f>
        <v>0.019824652777777778</v>
      </c>
      <c r="J148" s="362">
        <v>42168</v>
      </c>
      <c r="K148" s="370"/>
      <c r="L148" s="330">
        <f t="shared" si="7"/>
        <v>0.019824652777777778</v>
      </c>
      <c r="M148" s="320">
        <v>5</v>
      </c>
      <c r="N148" s="320">
        <v>26</v>
      </c>
      <c r="O148" s="83"/>
    </row>
    <row r="149" spans="1:16" ht="15">
      <c r="A149" s="341">
        <f t="shared" si="8"/>
        <v>144</v>
      </c>
      <c r="B149" t="s">
        <v>422</v>
      </c>
      <c r="C149" t="s">
        <v>421</v>
      </c>
      <c r="D149" s="15"/>
      <c r="E149" s="342">
        <v>0.01989583333333333</v>
      </c>
      <c r="F149" s="245">
        <v>42133</v>
      </c>
      <c r="G149" s="366"/>
      <c r="H149" s="342"/>
      <c r="I149" s="342"/>
      <c r="J149" s="245"/>
      <c r="K149" s="366"/>
      <c r="L149" s="363">
        <f t="shared" si="7"/>
        <v>0.01989583333333333</v>
      </c>
      <c r="M149" s="231"/>
      <c r="O149" s="83"/>
      <c r="P149" s="233"/>
    </row>
    <row r="150" spans="1:15" ht="15">
      <c r="A150" s="341">
        <f t="shared" si="8"/>
        <v>145</v>
      </c>
      <c r="B150" s="318" t="s">
        <v>239</v>
      </c>
      <c r="C150" s="318" t="s">
        <v>240</v>
      </c>
      <c r="E150" s="330"/>
      <c r="F150" s="362"/>
      <c r="G150" s="370"/>
      <c r="H150" s="330">
        <v>0.02096064814814815</v>
      </c>
      <c r="I150" s="330">
        <f>+H150*0.95</f>
        <v>0.01991261574074074</v>
      </c>
      <c r="J150" s="362">
        <v>42308</v>
      </c>
      <c r="K150" s="370"/>
      <c r="L150" s="330">
        <f>MIN(I150,E150)</f>
        <v>0.01991261574074074</v>
      </c>
      <c r="M150" s="320">
        <v>6</v>
      </c>
      <c r="N150" s="320">
        <v>25</v>
      </c>
      <c r="O150" s="83"/>
    </row>
    <row r="151" spans="1:17" ht="15">
      <c r="A151" s="341">
        <f t="shared" si="8"/>
        <v>146</v>
      </c>
      <c r="B151" s="314" t="s">
        <v>63</v>
      </c>
      <c r="C151" s="314" t="s">
        <v>322</v>
      </c>
      <c r="E151" s="329">
        <v>0.01997685185185185</v>
      </c>
      <c r="F151" s="361">
        <v>42007</v>
      </c>
      <c r="G151" s="369"/>
      <c r="H151" s="329"/>
      <c r="I151" s="329"/>
      <c r="J151" s="361"/>
      <c r="K151" s="369"/>
      <c r="L151" s="329">
        <f t="shared" si="7"/>
        <v>0.01997685185185185</v>
      </c>
      <c r="M151" s="316">
        <v>11</v>
      </c>
      <c r="N151" s="316">
        <v>20</v>
      </c>
      <c r="O151" s="83"/>
      <c r="P151" s="85"/>
      <c r="Q151" s="86"/>
    </row>
    <row r="152" spans="1:17" ht="15">
      <c r="A152" s="341">
        <f t="shared" si="8"/>
        <v>147</v>
      </c>
      <c r="B152" s="314" t="s">
        <v>203</v>
      </c>
      <c r="C152" s="314" t="s">
        <v>204</v>
      </c>
      <c r="E152" s="329">
        <v>0.020046296296296295</v>
      </c>
      <c r="F152" s="361">
        <v>42266</v>
      </c>
      <c r="G152" s="369"/>
      <c r="H152" s="329"/>
      <c r="I152" s="329"/>
      <c r="J152" s="361"/>
      <c r="K152" s="369"/>
      <c r="L152" s="329">
        <f>MIN(I152,E152)</f>
        <v>0.020046296296296295</v>
      </c>
      <c r="M152" s="316">
        <v>12</v>
      </c>
      <c r="N152" s="316">
        <v>29</v>
      </c>
      <c r="O152" s="83"/>
      <c r="P152" s="85"/>
      <c r="Q152" s="86"/>
    </row>
    <row r="153" spans="1:15" ht="15">
      <c r="A153" s="341">
        <f t="shared" si="8"/>
        <v>148</v>
      </c>
      <c r="B153" s="318" t="s">
        <v>234</v>
      </c>
      <c r="C153" s="318" t="s">
        <v>230</v>
      </c>
      <c r="E153" s="330">
        <v>0.02008101851851852</v>
      </c>
      <c r="F153" s="362">
        <v>42126</v>
      </c>
      <c r="G153" s="370"/>
      <c r="H153" s="330"/>
      <c r="I153" s="330"/>
      <c r="J153" s="362"/>
      <c r="K153" s="370"/>
      <c r="L153" s="330">
        <f t="shared" si="7"/>
        <v>0.02008101851851852</v>
      </c>
      <c r="M153" s="320">
        <v>7</v>
      </c>
      <c r="N153" s="320">
        <v>24</v>
      </c>
      <c r="O153" s="83"/>
    </row>
    <row r="154" spans="1:24" ht="15">
      <c r="A154" s="341">
        <f t="shared" si="8"/>
        <v>149</v>
      </c>
      <c r="B154" t="s">
        <v>414</v>
      </c>
      <c r="C154" t="s">
        <v>445</v>
      </c>
      <c r="E154" s="232">
        <v>0.02017361111111111</v>
      </c>
      <c r="F154" s="245">
        <v>42287</v>
      </c>
      <c r="G154" s="366"/>
      <c r="J154" s="245"/>
      <c r="K154" s="366"/>
      <c r="L154" s="363">
        <f>MIN(I154,E154)</f>
        <v>0.02017361111111111</v>
      </c>
      <c r="M154" s="231"/>
      <c r="O154" s="83"/>
      <c r="P154" s="233"/>
      <c r="Q154"/>
      <c r="R154"/>
      <c r="S154"/>
      <c r="T154"/>
      <c r="U154"/>
      <c r="V154"/>
      <c r="W154"/>
      <c r="X154"/>
    </row>
    <row r="155" spans="1:17" ht="15">
      <c r="A155" s="341">
        <f t="shared" si="8"/>
        <v>150</v>
      </c>
      <c r="B155" s="257" t="s">
        <v>196</v>
      </c>
      <c r="C155" s="257" t="s">
        <v>38</v>
      </c>
      <c r="D155" s="15"/>
      <c r="E155" s="328">
        <v>0.020277777777777777</v>
      </c>
      <c r="F155" s="360">
        <v>42224</v>
      </c>
      <c r="G155" s="369"/>
      <c r="H155" s="328"/>
      <c r="I155" s="328"/>
      <c r="J155" s="360"/>
      <c r="K155" s="369"/>
      <c r="L155" s="328">
        <f t="shared" si="7"/>
        <v>0.020277777777777777</v>
      </c>
      <c r="M155" s="312">
        <v>19</v>
      </c>
      <c r="N155" s="312">
        <v>12</v>
      </c>
      <c r="O155" s="83"/>
      <c r="P155" s="85"/>
      <c r="Q155" s="86"/>
    </row>
    <row r="156" spans="1:17" ht="15">
      <c r="A156" s="341">
        <f t="shared" si="8"/>
        <v>151</v>
      </c>
      <c r="B156" s="314" t="s">
        <v>220</v>
      </c>
      <c r="C156" s="314" t="s">
        <v>145</v>
      </c>
      <c r="E156" s="329">
        <v>0.020277777777777777</v>
      </c>
      <c r="F156" s="361">
        <v>42098</v>
      </c>
      <c r="G156" s="369"/>
      <c r="H156" s="329"/>
      <c r="I156" s="329"/>
      <c r="J156" s="361"/>
      <c r="K156" s="369"/>
      <c r="L156" s="329">
        <f t="shared" si="7"/>
        <v>0.020277777777777777</v>
      </c>
      <c r="M156" s="316">
        <v>13</v>
      </c>
      <c r="N156" s="316">
        <v>18</v>
      </c>
      <c r="O156" s="83"/>
      <c r="P156" s="85"/>
      <c r="Q156" s="86"/>
    </row>
    <row r="157" spans="1:15" ht="15">
      <c r="A157" s="341">
        <f t="shared" si="8"/>
        <v>152</v>
      </c>
      <c r="B157" s="15" t="s">
        <v>392</v>
      </c>
      <c r="C157" s="15" t="s">
        <v>504</v>
      </c>
      <c r="E157" s="232">
        <v>0.020277777777777777</v>
      </c>
      <c r="F157" s="370">
        <v>42168</v>
      </c>
      <c r="G157" s="370"/>
      <c r="H157" s="372"/>
      <c r="I157" s="372"/>
      <c r="J157" s="370"/>
      <c r="K157" s="370"/>
      <c r="L157" s="363">
        <f t="shared" si="7"/>
        <v>0.020277777777777777</v>
      </c>
      <c r="M157" s="84"/>
      <c r="N157" s="84"/>
      <c r="O157" s="83"/>
    </row>
    <row r="158" spans="1:15" ht="15">
      <c r="A158" s="341">
        <f t="shared" si="8"/>
        <v>153</v>
      </c>
      <c r="B158" s="341" t="s">
        <v>460</v>
      </c>
      <c r="C158" t="s">
        <v>509</v>
      </c>
      <c r="F158" s="245"/>
      <c r="H158" s="232">
        <v>0.021412037037037035</v>
      </c>
      <c r="I158" s="232">
        <f>+H158*0.95</f>
        <v>0.02034143518518518</v>
      </c>
      <c r="J158" s="245">
        <v>42287</v>
      </c>
      <c r="L158" s="363">
        <f>MIN(I158,E158)</f>
        <v>0.02034143518518518</v>
      </c>
      <c r="O158" s="83"/>
    </row>
    <row r="159" spans="1:16" ht="15">
      <c r="A159" s="341">
        <f t="shared" si="8"/>
        <v>154</v>
      </c>
      <c r="B159" t="s">
        <v>314</v>
      </c>
      <c r="C159" t="s">
        <v>457</v>
      </c>
      <c r="D159" s="15"/>
      <c r="E159" s="232">
        <v>0.020358796296296295</v>
      </c>
      <c r="F159" s="245">
        <v>42126</v>
      </c>
      <c r="G159" s="366"/>
      <c r="H159" s="232">
        <v>0.02193287037037037</v>
      </c>
      <c r="I159" s="232">
        <f>+H159*0.95</f>
        <v>0.02083622685185185</v>
      </c>
      <c r="J159" s="245">
        <v>42140</v>
      </c>
      <c r="K159" s="366"/>
      <c r="L159" s="363">
        <f aca="true" t="shared" si="9" ref="L159:L193">MIN(I159,E159)</f>
        <v>0.020358796296296295</v>
      </c>
      <c r="M159" s="231"/>
      <c r="O159" s="83"/>
      <c r="P159" s="233"/>
    </row>
    <row r="160" spans="1:15" ht="15">
      <c r="A160" s="341">
        <f t="shared" si="8"/>
        <v>155</v>
      </c>
      <c r="B160" s="318" t="s">
        <v>218</v>
      </c>
      <c r="C160" s="318" t="s">
        <v>292</v>
      </c>
      <c r="E160" s="330">
        <v>0.02056712962962963</v>
      </c>
      <c r="F160" s="362">
        <v>42259</v>
      </c>
      <c r="G160" s="370"/>
      <c r="H160" s="330">
        <v>0.02146990740740741</v>
      </c>
      <c r="I160" s="330">
        <f>+H160*0.95</f>
        <v>0.02039641203703704</v>
      </c>
      <c r="J160" s="362">
        <v>42245</v>
      </c>
      <c r="K160" s="370"/>
      <c r="L160" s="330">
        <f>MIN(I160,E160)</f>
        <v>0.02039641203703704</v>
      </c>
      <c r="M160" s="320">
        <v>8</v>
      </c>
      <c r="N160" s="320">
        <v>23</v>
      </c>
      <c r="O160" s="83"/>
    </row>
    <row r="161" spans="1:24" ht="15">
      <c r="A161" s="341">
        <f t="shared" si="8"/>
        <v>156</v>
      </c>
      <c r="B161" t="s">
        <v>344</v>
      </c>
      <c r="C161" t="s">
        <v>343</v>
      </c>
      <c r="E161" s="232">
        <v>0.02255787037037037</v>
      </c>
      <c r="F161" s="245">
        <v>42014</v>
      </c>
      <c r="G161" s="366"/>
      <c r="H161" s="232">
        <v>0.02148148148148148</v>
      </c>
      <c r="I161" s="232">
        <f>+H161*0.95</f>
        <v>0.020407407407407405</v>
      </c>
      <c r="J161" s="245">
        <v>42147</v>
      </c>
      <c r="K161" s="366"/>
      <c r="L161" s="363">
        <f t="shared" si="9"/>
        <v>0.020407407407407405</v>
      </c>
      <c r="M161" s="231"/>
      <c r="O161" s="83"/>
      <c r="P161" s="233"/>
      <c r="Q161"/>
      <c r="R161"/>
      <c r="S161"/>
      <c r="T161"/>
      <c r="U161"/>
      <c r="V161"/>
      <c r="W161"/>
      <c r="X161"/>
    </row>
    <row r="162" spans="1:15" ht="15">
      <c r="A162" s="341">
        <f t="shared" si="8"/>
        <v>157</v>
      </c>
      <c r="B162" t="s">
        <v>314</v>
      </c>
      <c r="C162" t="s">
        <v>312</v>
      </c>
      <c r="D162" s="231"/>
      <c r="E162" s="342">
        <v>0.020439814814814817</v>
      </c>
      <c r="F162" s="245">
        <v>42140</v>
      </c>
      <c r="I162" s="83"/>
      <c r="J162" s="233"/>
      <c r="L162" s="363">
        <f t="shared" si="9"/>
        <v>0.020439814814814817</v>
      </c>
      <c r="O162" s="83"/>
    </row>
    <row r="163" spans="1:15" ht="15">
      <c r="A163" s="341">
        <f t="shared" si="8"/>
        <v>158</v>
      </c>
      <c r="B163" s="339" t="s">
        <v>103</v>
      </c>
      <c r="C163" t="s">
        <v>532</v>
      </c>
      <c r="E163" s="232">
        <v>0.02045138888888889</v>
      </c>
      <c r="F163" s="245">
        <v>42154</v>
      </c>
      <c r="H163" s="232">
        <v>0.023009259259259257</v>
      </c>
      <c r="I163" s="232">
        <f>+H163*0.95</f>
        <v>0.021858796296296293</v>
      </c>
      <c r="J163" s="245">
        <v>42147</v>
      </c>
      <c r="K163" s="366"/>
      <c r="L163" s="363">
        <f t="shared" si="9"/>
        <v>0.02045138888888889</v>
      </c>
      <c r="O163" s="83"/>
    </row>
    <row r="164" spans="1:15" ht="15">
      <c r="A164" s="341">
        <f t="shared" si="8"/>
        <v>159</v>
      </c>
      <c r="B164" s="318" t="s">
        <v>189</v>
      </c>
      <c r="C164" s="318" t="s">
        <v>135</v>
      </c>
      <c r="E164" s="330">
        <v>0.02048611111111111</v>
      </c>
      <c r="F164" s="362">
        <v>42308</v>
      </c>
      <c r="G164" s="370"/>
      <c r="H164" s="330"/>
      <c r="I164" s="330"/>
      <c r="J164" s="362"/>
      <c r="K164" s="370"/>
      <c r="L164" s="330">
        <f>MIN(I164,E164)</f>
        <v>0.02048611111111111</v>
      </c>
      <c r="M164" s="320">
        <v>9</v>
      </c>
      <c r="N164" s="320">
        <v>22</v>
      </c>
      <c r="O164" s="83"/>
    </row>
    <row r="165" spans="1:15" ht="15">
      <c r="A165" s="341">
        <f t="shared" si="8"/>
        <v>160</v>
      </c>
      <c r="B165" s="318" t="s">
        <v>507</v>
      </c>
      <c r="C165" s="318" t="s">
        <v>178</v>
      </c>
      <c r="E165" s="330">
        <v>0.02056712962962963</v>
      </c>
      <c r="F165" s="362">
        <v>42287</v>
      </c>
      <c r="G165" s="370"/>
      <c r="H165" s="330">
        <v>0.021574074074074075</v>
      </c>
      <c r="I165" s="330">
        <f>+H165*0.95</f>
        <v>0.020495370370370372</v>
      </c>
      <c r="J165" s="362">
        <v>42252</v>
      </c>
      <c r="K165" s="370"/>
      <c r="L165" s="330">
        <f>MIN(I165,E165)</f>
        <v>0.020495370370370372</v>
      </c>
      <c r="M165" s="320">
        <v>10</v>
      </c>
      <c r="N165" s="320">
        <v>21</v>
      </c>
      <c r="O165" s="83"/>
    </row>
    <row r="166" spans="1:15" ht="15">
      <c r="A166" s="341">
        <f t="shared" si="8"/>
        <v>161</v>
      </c>
      <c r="B166" s="318" t="s">
        <v>392</v>
      </c>
      <c r="C166" s="318" t="s">
        <v>211</v>
      </c>
      <c r="E166" s="330"/>
      <c r="F166" s="362"/>
      <c r="G166" s="370"/>
      <c r="H166" s="330">
        <v>0.021678240740740738</v>
      </c>
      <c r="I166" s="330">
        <f>+H166*0.95</f>
        <v>0.020594328703703698</v>
      </c>
      <c r="J166" s="362">
        <v>42252</v>
      </c>
      <c r="K166" s="370"/>
      <c r="L166" s="330">
        <f>MIN(I166,E166)</f>
        <v>0.020594328703703698</v>
      </c>
      <c r="M166" s="320">
        <v>11</v>
      </c>
      <c r="N166" s="320">
        <v>20</v>
      </c>
      <c r="O166" s="83"/>
    </row>
    <row r="167" spans="1:15" ht="15">
      <c r="A167" s="341">
        <f t="shared" si="8"/>
        <v>162</v>
      </c>
      <c r="B167" s="318" t="s">
        <v>381</v>
      </c>
      <c r="C167" s="318" t="s">
        <v>200</v>
      </c>
      <c r="E167" s="330"/>
      <c r="F167" s="362"/>
      <c r="G167" s="370"/>
      <c r="H167" s="330">
        <v>0.021736111111111112</v>
      </c>
      <c r="I167" s="330">
        <f>+H167*0.95</f>
        <v>0.020649305555555556</v>
      </c>
      <c r="J167" s="362">
        <v>42308</v>
      </c>
      <c r="K167" s="370"/>
      <c r="L167" s="330">
        <f>MIN(I167,E167)</f>
        <v>0.020649305555555556</v>
      </c>
      <c r="M167" s="320">
        <v>12</v>
      </c>
      <c r="N167" s="320">
        <v>19</v>
      </c>
      <c r="O167" s="83"/>
    </row>
    <row r="168" spans="1:15" ht="15">
      <c r="A168" s="341">
        <f t="shared" si="8"/>
        <v>163</v>
      </c>
      <c r="B168" s="318" t="s">
        <v>390</v>
      </c>
      <c r="C168" s="318" t="s">
        <v>207</v>
      </c>
      <c r="E168" s="330">
        <v>0.022037037037037036</v>
      </c>
      <c r="F168" s="362">
        <v>42245</v>
      </c>
      <c r="G168" s="370"/>
      <c r="H168" s="330">
        <v>0.021979166666666664</v>
      </c>
      <c r="I168" s="330">
        <f>+H168*0.95</f>
        <v>0.02088020833333333</v>
      </c>
      <c r="J168" s="362">
        <v>42280</v>
      </c>
      <c r="K168" s="370"/>
      <c r="L168" s="330">
        <f>MIN(I168,E168)</f>
        <v>0.02088020833333333</v>
      </c>
      <c r="M168" s="320">
        <v>13</v>
      </c>
      <c r="N168" s="320">
        <v>18</v>
      </c>
      <c r="O168" s="83"/>
    </row>
    <row r="169" spans="1:15" ht="15">
      <c r="A169" s="341">
        <f t="shared" si="8"/>
        <v>164</v>
      </c>
      <c r="B169" t="s">
        <v>497</v>
      </c>
      <c r="C169" t="s">
        <v>496</v>
      </c>
      <c r="D169" s="231"/>
      <c r="E169" s="342">
        <v>0.02111111111111111</v>
      </c>
      <c r="F169" s="245">
        <v>42161</v>
      </c>
      <c r="I169" s="83"/>
      <c r="J169" s="233"/>
      <c r="L169" s="363">
        <f t="shared" si="9"/>
        <v>0.02111111111111111</v>
      </c>
      <c r="O169" s="83"/>
    </row>
    <row r="170" spans="1:15" ht="15">
      <c r="A170" s="341">
        <f t="shared" si="8"/>
        <v>165</v>
      </c>
      <c r="B170" t="s">
        <v>499</v>
      </c>
      <c r="C170" t="s">
        <v>498</v>
      </c>
      <c r="D170" s="231"/>
      <c r="E170" s="342">
        <v>0.021226851851851854</v>
      </c>
      <c r="F170" s="245">
        <v>42266</v>
      </c>
      <c r="I170" s="83"/>
      <c r="J170" s="233"/>
      <c r="L170" s="363">
        <f>MIN(I170,E170)</f>
        <v>0.021226851851851854</v>
      </c>
      <c r="O170" s="83"/>
    </row>
    <row r="171" spans="1:24" ht="15">
      <c r="A171" s="341">
        <f t="shared" si="8"/>
        <v>166</v>
      </c>
      <c r="B171" t="s">
        <v>324</v>
      </c>
      <c r="C171" t="s">
        <v>204</v>
      </c>
      <c r="E171" s="232">
        <v>0.02125</v>
      </c>
      <c r="F171" s="245">
        <v>42245</v>
      </c>
      <c r="G171" s="366"/>
      <c r="J171" s="245"/>
      <c r="K171" s="366"/>
      <c r="L171" s="363">
        <f>MIN(I171,E171)</f>
        <v>0.02125</v>
      </c>
      <c r="M171" s="231"/>
      <c r="O171" s="83"/>
      <c r="P171" s="233"/>
      <c r="Q171"/>
      <c r="R171"/>
      <c r="S171"/>
      <c r="T171"/>
      <c r="U171"/>
      <c r="V171"/>
      <c r="W171"/>
      <c r="X171"/>
    </row>
    <row r="172" spans="1:15" ht="15">
      <c r="A172" s="341">
        <f t="shared" si="8"/>
        <v>167</v>
      </c>
      <c r="B172" s="318" t="s">
        <v>245</v>
      </c>
      <c r="C172" s="318" t="s">
        <v>244</v>
      </c>
      <c r="E172" s="330">
        <v>0.023206018518518515</v>
      </c>
      <c r="F172" s="362">
        <v>42175</v>
      </c>
      <c r="G172" s="370"/>
      <c r="H172" s="330">
        <v>0.02263888888888889</v>
      </c>
      <c r="I172" s="330">
        <f>+H172*0.95</f>
        <v>0.021506944444444443</v>
      </c>
      <c r="J172" s="362">
        <v>42252</v>
      </c>
      <c r="K172" s="370"/>
      <c r="L172" s="330">
        <f>MIN(I172,E172)</f>
        <v>0.021506944444444443</v>
      </c>
      <c r="M172" s="320">
        <v>14</v>
      </c>
      <c r="N172" s="320">
        <v>17</v>
      </c>
      <c r="O172" s="83"/>
    </row>
    <row r="173" spans="1:24" ht="15">
      <c r="A173" s="341">
        <f t="shared" si="8"/>
        <v>168</v>
      </c>
      <c r="B173" t="s">
        <v>564</v>
      </c>
      <c r="C173" t="s">
        <v>38</v>
      </c>
      <c r="E173" s="232">
        <v>0.021516203703703704</v>
      </c>
      <c r="F173" s="245">
        <v>42350</v>
      </c>
      <c r="G173" s="366"/>
      <c r="J173" s="245"/>
      <c r="K173" s="366"/>
      <c r="L173" s="363">
        <f>MIN(I173,E173)</f>
        <v>0.021516203703703704</v>
      </c>
      <c r="M173" s="231"/>
      <c r="O173" s="83"/>
      <c r="P173" s="233"/>
      <c r="Q173"/>
      <c r="R173"/>
      <c r="S173"/>
      <c r="T173"/>
      <c r="U173"/>
      <c r="V173"/>
      <c r="W173"/>
      <c r="X173"/>
    </row>
    <row r="174" spans="1:24" ht="15">
      <c r="A174" s="341">
        <f t="shared" si="8"/>
        <v>169</v>
      </c>
      <c r="B174" t="s">
        <v>424</v>
      </c>
      <c r="C174" t="s">
        <v>423</v>
      </c>
      <c r="E174" s="232">
        <v>0.02152777777777778</v>
      </c>
      <c r="F174" s="245">
        <v>42273</v>
      </c>
      <c r="G174" s="366"/>
      <c r="J174" s="245"/>
      <c r="K174" s="366"/>
      <c r="L174" s="363">
        <f>MIN(I174,E174)</f>
        <v>0.02152777777777778</v>
      </c>
      <c r="M174" s="231"/>
      <c r="O174" s="83"/>
      <c r="P174" s="233"/>
      <c r="Q174"/>
      <c r="R174"/>
      <c r="S174"/>
      <c r="T174"/>
      <c r="U174"/>
      <c r="V174"/>
      <c r="W174"/>
      <c r="X174"/>
    </row>
    <row r="175" spans="1:24" ht="15">
      <c r="A175" s="341">
        <f t="shared" si="8"/>
        <v>170</v>
      </c>
      <c r="B175" t="s">
        <v>519</v>
      </c>
      <c r="C175" t="s">
        <v>550</v>
      </c>
      <c r="E175" s="232">
        <v>0.0215625</v>
      </c>
      <c r="F175" s="245">
        <v>42175</v>
      </c>
      <c r="G175" s="366"/>
      <c r="J175" s="245"/>
      <c r="K175" s="366"/>
      <c r="L175" s="363">
        <f t="shared" si="9"/>
        <v>0.0215625</v>
      </c>
      <c r="M175" s="231"/>
      <c r="O175" s="83"/>
      <c r="P175" s="233"/>
      <c r="Q175"/>
      <c r="R175"/>
      <c r="S175"/>
      <c r="T175"/>
      <c r="U175"/>
      <c r="V175"/>
      <c r="W175"/>
      <c r="X175"/>
    </row>
    <row r="176" spans="1:24" ht="15">
      <c r="A176" s="341">
        <f t="shared" si="8"/>
        <v>171</v>
      </c>
      <c r="B176" t="s">
        <v>438</v>
      </c>
      <c r="C176" t="s">
        <v>437</v>
      </c>
      <c r="E176" s="232">
        <v>0.021851851851851848</v>
      </c>
      <c r="F176" s="245">
        <v>42168</v>
      </c>
      <c r="G176" s="366"/>
      <c r="H176" s="232">
        <v>0.025405092592592594</v>
      </c>
      <c r="I176" s="232">
        <f>+H176*0.95</f>
        <v>0.024134837962962962</v>
      </c>
      <c r="J176" s="245">
        <v>42070</v>
      </c>
      <c r="K176" s="366"/>
      <c r="L176" s="363">
        <f t="shared" si="9"/>
        <v>0.021851851851851848</v>
      </c>
      <c r="M176" s="231"/>
      <c r="O176" s="83"/>
      <c r="P176" s="233"/>
      <c r="Q176"/>
      <c r="R176"/>
      <c r="S176"/>
      <c r="T176"/>
      <c r="U176"/>
      <c r="V176"/>
      <c r="W176"/>
      <c r="X176"/>
    </row>
    <row r="177" spans="1:24" ht="15">
      <c r="A177" s="341">
        <f t="shared" si="8"/>
        <v>172</v>
      </c>
      <c r="B177" t="s">
        <v>364</v>
      </c>
      <c r="C177" t="s">
        <v>425</v>
      </c>
      <c r="E177" s="232">
        <v>0.021851851851851848</v>
      </c>
      <c r="F177" s="245">
        <v>42266</v>
      </c>
      <c r="G177" s="366"/>
      <c r="J177" s="245"/>
      <c r="K177" s="366"/>
      <c r="L177" s="363">
        <f>MIN(I177,E177)</f>
        <v>0.021851851851851848</v>
      </c>
      <c r="M177" s="231"/>
      <c r="O177" s="83"/>
      <c r="P177" s="233"/>
      <c r="Q177"/>
      <c r="R177"/>
      <c r="S177"/>
      <c r="T177"/>
      <c r="U177"/>
      <c r="V177"/>
      <c r="W177"/>
      <c r="X177"/>
    </row>
    <row r="178" spans="1:15" ht="15">
      <c r="A178" s="341">
        <f t="shared" si="8"/>
        <v>173</v>
      </c>
      <c r="B178" s="318" t="s">
        <v>345</v>
      </c>
      <c r="C178" s="318" t="s">
        <v>266</v>
      </c>
      <c r="E178" s="330">
        <v>0.02193287037037037</v>
      </c>
      <c r="F178" s="362">
        <v>42063</v>
      </c>
      <c r="G178" s="370"/>
      <c r="H178" s="330">
        <v>0.024386574074074074</v>
      </c>
      <c r="I178" s="330">
        <f>+H178*0.95</f>
        <v>0.02316724537037037</v>
      </c>
      <c r="J178" s="362">
        <v>42070</v>
      </c>
      <c r="K178" s="370"/>
      <c r="L178" s="330">
        <f t="shared" si="9"/>
        <v>0.02193287037037037</v>
      </c>
      <c r="M178" s="320">
        <v>15</v>
      </c>
      <c r="N178" s="320">
        <v>16</v>
      </c>
      <c r="O178" s="83"/>
    </row>
    <row r="179" spans="1:24" ht="15">
      <c r="A179" s="341">
        <f t="shared" si="8"/>
        <v>174</v>
      </c>
      <c r="B179" t="s">
        <v>519</v>
      </c>
      <c r="C179" t="s">
        <v>601</v>
      </c>
      <c r="E179" s="232">
        <v>0.02200231481481482</v>
      </c>
      <c r="F179" s="245">
        <v>42245</v>
      </c>
      <c r="G179" s="366"/>
      <c r="J179" s="245"/>
      <c r="K179" s="366"/>
      <c r="L179" s="363">
        <f>MIN(I179,E179)</f>
        <v>0.02200231481481482</v>
      </c>
      <c r="M179" s="231"/>
      <c r="O179" s="83"/>
      <c r="P179" s="233"/>
      <c r="Q179"/>
      <c r="R179"/>
      <c r="S179"/>
      <c r="T179"/>
      <c r="U179"/>
      <c r="V179"/>
      <c r="W179"/>
      <c r="X179"/>
    </row>
    <row r="180" spans="1:15" ht="15">
      <c r="A180" s="341">
        <f t="shared" si="8"/>
        <v>175</v>
      </c>
      <c r="B180" t="s">
        <v>446</v>
      </c>
      <c r="C180" t="s">
        <v>447</v>
      </c>
      <c r="E180" s="232">
        <v>0.029305555555555557</v>
      </c>
      <c r="F180" s="245">
        <v>42280</v>
      </c>
      <c r="H180" s="232">
        <v>0.02332175925925926</v>
      </c>
      <c r="I180" s="232">
        <f>+H180*0.95</f>
        <v>0.0221556712962963</v>
      </c>
      <c r="J180" s="245">
        <v>42077</v>
      </c>
      <c r="K180" s="366"/>
      <c r="L180" s="363">
        <f t="shared" si="9"/>
        <v>0.0221556712962963</v>
      </c>
      <c r="O180" s="83"/>
    </row>
    <row r="181" spans="1:24" ht="15">
      <c r="A181" s="341">
        <f t="shared" si="8"/>
        <v>176</v>
      </c>
      <c r="B181" t="s">
        <v>448</v>
      </c>
      <c r="C181" t="s">
        <v>318</v>
      </c>
      <c r="D181" s="231"/>
      <c r="E181" s="342">
        <v>0.02217592592592593</v>
      </c>
      <c r="F181" s="245">
        <v>42175</v>
      </c>
      <c r="G181"/>
      <c r="I181" s="83"/>
      <c r="J181" s="233"/>
      <c r="K181"/>
      <c r="L181" s="363">
        <f t="shared" si="9"/>
        <v>0.02217592592592593</v>
      </c>
      <c r="M181" s="231"/>
      <c r="O181" s="83"/>
      <c r="P181" s="233"/>
      <c r="Q181"/>
      <c r="R181"/>
      <c r="S181"/>
      <c r="T181"/>
      <c r="U181"/>
      <c r="V181"/>
      <c r="W181"/>
      <c r="X181"/>
    </row>
    <row r="182" spans="1:24" ht="15">
      <c r="A182" s="341">
        <f t="shared" si="8"/>
        <v>177</v>
      </c>
      <c r="B182" t="s">
        <v>201</v>
      </c>
      <c r="C182" t="s">
        <v>641</v>
      </c>
      <c r="E182" s="232">
        <v>0.02224537037037037</v>
      </c>
      <c r="F182" s="245">
        <v>42363</v>
      </c>
      <c r="G182" s="366"/>
      <c r="J182" s="245"/>
      <c r="K182" s="366"/>
      <c r="L182" s="363">
        <f>MIN(I182,E182)</f>
        <v>0.02224537037037037</v>
      </c>
      <c r="M182" s="231"/>
      <c r="O182" s="83"/>
      <c r="P182" s="233"/>
      <c r="Q182"/>
      <c r="R182"/>
      <c r="S182"/>
      <c r="T182"/>
      <c r="U182"/>
      <c r="V182"/>
      <c r="W182"/>
      <c r="X182"/>
    </row>
    <row r="183" spans="1:17" ht="15">
      <c r="A183" s="341">
        <f t="shared" si="8"/>
        <v>178</v>
      </c>
      <c r="B183" s="257" t="s">
        <v>231</v>
      </c>
      <c r="C183" s="257" t="s">
        <v>295</v>
      </c>
      <c r="E183" s="328">
        <v>0.022442129629629635</v>
      </c>
      <c r="F183" s="360">
        <v>42063</v>
      </c>
      <c r="G183" s="369"/>
      <c r="H183" s="328"/>
      <c r="I183" s="328"/>
      <c r="J183" s="360"/>
      <c r="K183" s="369"/>
      <c r="L183" s="328">
        <f t="shared" si="9"/>
        <v>0.022442129629629635</v>
      </c>
      <c r="M183" s="312">
        <v>20</v>
      </c>
      <c r="N183" s="312">
        <v>11</v>
      </c>
      <c r="O183" s="83"/>
      <c r="P183" s="85"/>
      <c r="Q183" s="86"/>
    </row>
    <row r="184" spans="1:15" ht="15">
      <c r="A184" s="341">
        <f t="shared" si="8"/>
        <v>179</v>
      </c>
      <c r="B184" s="318" t="s">
        <v>218</v>
      </c>
      <c r="C184" s="318" t="s">
        <v>210</v>
      </c>
      <c r="E184" s="330">
        <v>0.02255787037037037</v>
      </c>
      <c r="F184" s="362">
        <v>42126</v>
      </c>
      <c r="G184" s="370"/>
      <c r="H184" s="330"/>
      <c r="I184" s="330"/>
      <c r="J184" s="362"/>
      <c r="K184" s="370"/>
      <c r="L184" s="330">
        <f t="shared" si="9"/>
        <v>0.02255787037037037</v>
      </c>
      <c r="M184" s="320">
        <v>16</v>
      </c>
      <c r="N184" s="320">
        <v>15</v>
      </c>
      <c r="O184" s="83"/>
    </row>
    <row r="185" spans="1:24" ht="15">
      <c r="A185" s="341">
        <f t="shared" si="8"/>
        <v>180</v>
      </c>
      <c r="B185" t="s">
        <v>505</v>
      </c>
      <c r="C185" t="s">
        <v>506</v>
      </c>
      <c r="E185" s="232">
        <v>0.022673611111111113</v>
      </c>
      <c r="F185" s="245">
        <v>42133</v>
      </c>
      <c r="G185" s="366"/>
      <c r="J185" s="245"/>
      <c r="K185" s="366"/>
      <c r="L185" s="363">
        <f t="shared" si="9"/>
        <v>0.022673611111111113</v>
      </c>
      <c r="M185" s="231"/>
      <c r="O185" s="83"/>
      <c r="P185" s="233"/>
      <c r="Q185"/>
      <c r="R185"/>
      <c r="S185"/>
      <c r="T185"/>
      <c r="U185"/>
      <c r="V185"/>
      <c r="W185"/>
      <c r="X185"/>
    </row>
    <row r="186" spans="1:15" ht="15">
      <c r="A186" s="341">
        <f t="shared" si="8"/>
        <v>181</v>
      </c>
      <c r="B186" s="318" t="s">
        <v>179</v>
      </c>
      <c r="C186" s="318" t="s">
        <v>242</v>
      </c>
      <c r="E186" s="330">
        <v>0.022789351851851852</v>
      </c>
      <c r="F186" s="362">
        <v>42119</v>
      </c>
      <c r="G186" s="370"/>
      <c r="H186" s="330"/>
      <c r="I186" s="330"/>
      <c r="J186" s="362"/>
      <c r="K186" s="370"/>
      <c r="L186" s="330">
        <f t="shared" si="9"/>
        <v>0.022789351851851852</v>
      </c>
      <c r="M186" s="320">
        <v>17</v>
      </c>
      <c r="N186" s="320">
        <v>14</v>
      </c>
      <c r="O186" s="83"/>
    </row>
    <row r="187" spans="1:24" ht="15">
      <c r="A187" s="341">
        <f t="shared" si="8"/>
        <v>182</v>
      </c>
      <c r="B187" t="s">
        <v>580</v>
      </c>
      <c r="C187" t="s">
        <v>581</v>
      </c>
      <c r="E187" s="232">
        <v>0.02280092592592593</v>
      </c>
      <c r="F187" s="245">
        <v>42196</v>
      </c>
      <c r="G187" s="366"/>
      <c r="J187" s="245"/>
      <c r="K187" s="366"/>
      <c r="L187" s="363">
        <f t="shared" si="9"/>
        <v>0.02280092592592593</v>
      </c>
      <c r="M187" s="231"/>
      <c r="O187" s="83"/>
      <c r="P187" s="233"/>
      <c r="Q187"/>
      <c r="R187"/>
      <c r="S187"/>
      <c r="T187"/>
      <c r="U187"/>
      <c r="V187"/>
      <c r="W187"/>
      <c r="X187"/>
    </row>
    <row r="188" spans="1:24" ht="15">
      <c r="A188" s="341">
        <f t="shared" si="8"/>
        <v>183</v>
      </c>
      <c r="B188" t="s">
        <v>346</v>
      </c>
      <c r="C188" t="s">
        <v>84</v>
      </c>
      <c r="E188" s="232">
        <v>0.023449074074074074</v>
      </c>
      <c r="F188" s="245">
        <v>42098</v>
      </c>
      <c r="G188" s="366"/>
      <c r="H188" s="232">
        <v>0.02423611111111111</v>
      </c>
      <c r="I188" s="232">
        <f>+H188*0.95</f>
        <v>0.023024305555555555</v>
      </c>
      <c r="J188" s="245">
        <v>42189</v>
      </c>
      <c r="K188" s="366"/>
      <c r="L188" s="363">
        <f t="shared" si="9"/>
        <v>0.023024305555555555</v>
      </c>
      <c r="M188" s="231"/>
      <c r="O188" s="83"/>
      <c r="P188" s="233"/>
      <c r="Q188"/>
      <c r="R188"/>
      <c r="S188"/>
      <c r="T188"/>
      <c r="U188"/>
      <c r="V188"/>
      <c r="W188"/>
      <c r="X188"/>
    </row>
    <row r="189" spans="1:15" ht="15">
      <c r="A189" s="341">
        <f t="shared" si="8"/>
        <v>184</v>
      </c>
      <c r="B189" s="318" t="s">
        <v>201</v>
      </c>
      <c r="C189" s="318" t="s">
        <v>202</v>
      </c>
      <c r="E189" s="330">
        <v>0.02377314814814815</v>
      </c>
      <c r="F189" s="362">
        <v>42343</v>
      </c>
      <c r="G189" s="370"/>
      <c r="H189" s="330"/>
      <c r="I189" s="330"/>
      <c r="J189" s="362"/>
      <c r="K189" s="370"/>
      <c r="L189" s="330">
        <f>MIN(I189,E189)</f>
        <v>0.02377314814814815</v>
      </c>
      <c r="M189" s="320">
        <v>18</v>
      </c>
      <c r="N189" s="320">
        <v>13</v>
      </c>
      <c r="O189" s="83"/>
    </row>
    <row r="190" spans="1:17" ht="15">
      <c r="A190" s="341">
        <f t="shared" si="8"/>
        <v>185</v>
      </c>
      <c r="B190" s="257" t="s">
        <v>360</v>
      </c>
      <c r="C190" s="257" t="s">
        <v>359</v>
      </c>
      <c r="E190" s="328">
        <v>0.02383101851851852</v>
      </c>
      <c r="F190" s="360">
        <v>42363</v>
      </c>
      <c r="G190" s="369"/>
      <c r="H190" s="328"/>
      <c r="I190" s="328"/>
      <c r="J190" s="360"/>
      <c r="K190" s="369"/>
      <c r="L190" s="328">
        <f>MIN(I190,E190)</f>
        <v>0.02383101851851852</v>
      </c>
      <c r="M190" s="312">
        <v>21</v>
      </c>
      <c r="N190" s="312">
        <v>10</v>
      </c>
      <c r="O190" s="83"/>
      <c r="P190" s="85"/>
      <c r="Q190" s="86"/>
    </row>
    <row r="191" spans="1:24" ht="15">
      <c r="A191" s="341">
        <f t="shared" si="8"/>
        <v>186</v>
      </c>
      <c r="B191" t="s">
        <v>440</v>
      </c>
      <c r="C191" t="s">
        <v>439</v>
      </c>
      <c r="E191" s="232">
        <v>0.024212962962962964</v>
      </c>
      <c r="F191" s="245">
        <v>42126</v>
      </c>
      <c r="G191" s="366"/>
      <c r="J191" s="245"/>
      <c r="K191" s="366"/>
      <c r="L191" s="363">
        <f t="shared" si="9"/>
        <v>0.024212962962962964</v>
      </c>
      <c r="M191" s="231"/>
      <c r="O191" s="83"/>
      <c r="P191" s="233"/>
      <c r="Q191"/>
      <c r="R191"/>
      <c r="S191"/>
      <c r="T191"/>
      <c r="U191"/>
      <c r="V191"/>
      <c r="W191"/>
      <c r="X191"/>
    </row>
    <row r="192" spans="1:24" ht="15">
      <c r="A192" s="341">
        <f t="shared" si="8"/>
        <v>187</v>
      </c>
      <c r="B192" t="s">
        <v>595</v>
      </c>
      <c r="C192" t="s">
        <v>596</v>
      </c>
      <c r="E192" s="232">
        <v>0.024479166666666666</v>
      </c>
      <c r="F192" s="245">
        <v>42217</v>
      </c>
      <c r="G192" s="366"/>
      <c r="J192" s="245"/>
      <c r="K192" s="366"/>
      <c r="L192" s="363">
        <f t="shared" si="9"/>
        <v>0.024479166666666666</v>
      </c>
      <c r="M192" s="231"/>
      <c r="O192" s="83"/>
      <c r="P192" s="233"/>
      <c r="Q192"/>
      <c r="R192"/>
      <c r="S192"/>
      <c r="T192"/>
      <c r="U192"/>
      <c r="V192"/>
      <c r="W192"/>
      <c r="X192"/>
    </row>
    <row r="193" spans="1:15" ht="15">
      <c r="A193" s="341">
        <f t="shared" si="8"/>
        <v>188</v>
      </c>
      <c r="B193" t="s">
        <v>513</v>
      </c>
      <c r="C193" t="s">
        <v>252</v>
      </c>
      <c r="D193" s="231"/>
      <c r="E193" s="342">
        <v>0.02461805555555556</v>
      </c>
      <c r="F193" s="245">
        <v>42140</v>
      </c>
      <c r="I193" s="83"/>
      <c r="J193" s="233"/>
      <c r="L193" s="363">
        <f t="shared" si="9"/>
        <v>0.02461805555555556</v>
      </c>
      <c r="O193" s="83"/>
    </row>
    <row r="194" spans="1:15" ht="15">
      <c r="A194" s="341">
        <f t="shared" si="8"/>
        <v>189</v>
      </c>
      <c r="B194" t="s">
        <v>239</v>
      </c>
      <c r="C194" t="s">
        <v>537</v>
      </c>
      <c r="D194" s="231"/>
      <c r="E194" s="342">
        <v>0.0246875</v>
      </c>
      <c r="F194" s="245">
        <v>42294</v>
      </c>
      <c r="I194" s="83"/>
      <c r="J194" s="233"/>
      <c r="L194" s="363">
        <f aca="true" t="shared" si="10" ref="L194:L209">MIN(I194,E194)</f>
        <v>0.0246875</v>
      </c>
      <c r="O194" s="83"/>
    </row>
    <row r="195" spans="1:15" ht="15">
      <c r="A195" s="341">
        <f t="shared" si="8"/>
        <v>190</v>
      </c>
      <c r="B195" t="s">
        <v>186</v>
      </c>
      <c r="C195" t="s">
        <v>550</v>
      </c>
      <c r="D195" s="231"/>
      <c r="E195" s="342">
        <v>0.024814814814814817</v>
      </c>
      <c r="F195" s="245">
        <v>42287</v>
      </c>
      <c r="I195" s="83"/>
      <c r="J195" s="233"/>
      <c r="L195" s="363">
        <f>MIN(I195,E195)</f>
        <v>0.024814814814814817</v>
      </c>
      <c r="O195" s="83"/>
    </row>
    <row r="196" spans="1:24" ht="15">
      <c r="A196" s="341">
        <f t="shared" si="8"/>
        <v>191</v>
      </c>
      <c r="B196" t="s">
        <v>605</v>
      </c>
      <c r="C196" t="s">
        <v>135</v>
      </c>
      <c r="E196" s="232">
        <v>0.02488425925925926</v>
      </c>
      <c r="F196" s="245">
        <v>42273</v>
      </c>
      <c r="G196" s="366"/>
      <c r="J196" s="245"/>
      <c r="K196" s="366"/>
      <c r="L196" s="363">
        <f>MIN(I196,E196)</f>
        <v>0.02488425925925926</v>
      </c>
      <c r="M196" s="231"/>
      <c r="O196" s="83"/>
      <c r="P196" s="233"/>
      <c r="Q196"/>
      <c r="R196"/>
      <c r="S196"/>
      <c r="T196"/>
      <c r="U196"/>
      <c r="V196"/>
      <c r="W196"/>
      <c r="X196"/>
    </row>
    <row r="197" spans="1:15" ht="15">
      <c r="A197" s="341">
        <f t="shared" si="8"/>
        <v>192</v>
      </c>
      <c r="B197" t="s">
        <v>501</v>
      </c>
      <c r="C197" t="s">
        <v>500</v>
      </c>
      <c r="D197" s="231"/>
      <c r="E197" s="342">
        <v>0.0249537037037037</v>
      </c>
      <c r="F197" s="245">
        <v>42126</v>
      </c>
      <c r="I197" s="83"/>
      <c r="J197" s="233"/>
      <c r="L197" s="363">
        <f t="shared" si="10"/>
        <v>0.0249537037037037</v>
      </c>
      <c r="O197" s="83"/>
    </row>
    <row r="198" spans="1:15" ht="15">
      <c r="A198" s="341">
        <f t="shared" si="8"/>
        <v>193</v>
      </c>
      <c r="B198" t="s">
        <v>510</v>
      </c>
      <c r="C198" t="s">
        <v>511</v>
      </c>
      <c r="D198" s="231"/>
      <c r="E198" s="342">
        <v>0.0249537037037037</v>
      </c>
      <c r="F198" s="245">
        <v>42140</v>
      </c>
      <c r="I198" s="83"/>
      <c r="J198" s="233"/>
      <c r="L198" s="363">
        <f t="shared" si="10"/>
        <v>0.0249537037037037</v>
      </c>
      <c r="O198" s="83"/>
    </row>
    <row r="199" spans="1:15" ht="15">
      <c r="A199" s="341">
        <f t="shared" si="8"/>
        <v>194</v>
      </c>
      <c r="B199" t="s">
        <v>483</v>
      </c>
      <c r="C199" t="s">
        <v>484</v>
      </c>
      <c r="E199" s="342">
        <v>0.02560185185185185</v>
      </c>
      <c r="F199" s="245">
        <v>42294</v>
      </c>
      <c r="H199" s="232">
        <v>0.027314814814814816</v>
      </c>
      <c r="I199" s="232">
        <f>+H199*0.95</f>
        <v>0.025949074074074076</v>
      </c>
      <c r="J199" s="245">
        <v>42231</v>
      </c>
      <c r="K199" s="366"/>
      <c r="L199" s="363">
        <f>MIN(I199,E199)</f>
        <v>0.02560185185185185</v>
      </c>
      <c r="O199" s="83"/>
    </row>
    <row r="200" spans="1:15" ht="15">
      <c r="A200" s="341">
        <f aca="true" t="shared" si="11" ref="A200:A209">1+A199</f>
        <v>195</v>
      </c>
      <c r="B200" t="s">
        <v>503</v>
      </c>
      <c r="C200" t="s">
        <v>502</v>
      </c>
      <c r="D200" s="231"/>
      <c r="E200" s="342">
        <v>0.025717592592592594</v>
      </c>
      <c r="F200" s="245">
        <v>42189</v>
      </c>
      <c r="I200" s="83"/>
      <c r="J200" s="233"/>
      <c r="L200" s="363">
        <f t="shared" si="10"/>
        <v>0.025717592592592594</v>
      </c>
      <c r="O200" s="83"/>
    </row>
    <row r="201" spans="1:15" ht="15">
      <c r="A201" s="341">
        <f t="shared" si="11"/>
        <v>196</v>
      </c>
      <c r="B201" t="s">
        <v>589</v>
      </c>
      <c r="C201" t="s">
        <v>590</v>
      </c>
      <c r="D201" s="231"/>
      <c r="E201" s="342">
        <v>0.025729166666666664</v>
      </c>
      <c r="F201" s="245">
        <v>42203</v>
      </c>
      <c r="I201" s="83"/>
      <c r="J201" s="233"/>
      <c r="L201" s="363">
        <f t="shared" si="10"/>
        <v>0.025729166666666664</v>
      </c>
      <c r="O201" s="83"/>
    </row>
    <row r="202" spans="1:15" ht="15">
      <c r="A202" s="341">
        <f t="shared" si="11"/>
        <v>197</v>
      </c>
      <c r="B202" t="s">
        <v>568</v>
      </c>
      <c r="C202" t="s">
        <v>597</v>
      </c>
      <c r="D202" s="231"/>
      <c r="E202" s="342">
        <v>0.02578703703703704</v>
      </c>
      <c r="F202" s="245">
        <v>42217</v>
      </c>
      <c r="I202" s="83"/>
      <c r="J202" s="233"/>
      <c r="L202" s="363">
        <f t="shared" si="10"/>
        <v>0.02578703703703704</v>
      </c>
      <c r="O202" s="83"/>
    </row>
    <row r="203" spans="1:15" ht="15">
      <c r="A203" s="341">
        <f t="shared" si="11"/>
        <v>198</v>
      </c>
      <c r="B203" t="s">
        <v>226</v>
      </c>
      <c r="C203" t="s">
        <v>512</v>
      </c>
      <c r="D203" s="231"/>
      <c r="E203" s="342">
        <v>0.025879629629629627</v>
      </c>
      <c r="F203" s="245">
        <v>42266</v>
      </c>
      <c r="I203" s="83"/>
      <c r="J203" s="233"/>
      <c r="L203" s="363">
        <f>MIN(I203,E203)</f>
        <v>0.025879629629629627</v>
      </c>
      <c r="O203" s="83"/>
    </row>
    <row r="204" spans="1:15" ht="15">
      <c r="A204" s="341">
        <f t="shared" si="11"/>
        <v>199</v>
      </c>
      <c r="B204" t="s">
        <v>152</v>
      </c>
      <c r="C204" t="s">
        <v>576</v>
      </c>
      <c r="D204" s="231"/>
      <c r="E204" s="342">
        <v>0.025995370370370367</v>
      </c>
      <c r="F204" s="245">
        <v>42189</v>
      </c>
      <c r="I204" s="83"/>
      <c r="J204" s="233"/>
      <c r="L204" s="363">
        <f t="shared" si="10"/>
        <v>0.025995370370370367</v>
      </c>
      <c r="O204" s="83"/>
    </row>
    <row r="205" spans="1:15" ht="15">
      <c r="A205" s="341">
        <f t="shared" si="11"/>
        <v>200</v>
      </c>
      <c r="B205" s="341" t="s">
        <v>536</v>
      </c>
      <c r="C205" s="341" t="s">
        <v>365</v>
      </c>
      <c r="E205" s="342">
        <v>0.026412037037037036</v>
      </c>
      <c r="F205" s="245">
        <v>42196</v>
      </c>
      <c r="H205" s="232">
        <v>0.027962962962962964</v>
      </c>
      <c r="I205" s="232">
        <f>+H205*0.95</f>
        <v>0.026564814814814815</v>
      </c>
      <c r="J205" s="245">
        <v>42161</v>
      </c>
      <c r="L205" s="363">
        <f t="shared" si="10"/>
        <v>0.026412037037037036</v>
      </c>
      <c r="O205" s="83"/>
    </row>
    <row r="206" spans="1:15" ht="15">
      <c r="A206" s="341">
        <f t="shared" si="11"/>
        <v>201</v>
      </c>
      <c r="B206" s="341" t="s">
        <v>225</v>
      </c>
      <c r="C206" s="341" t="s">
        <v>522</v>
      </c>
      <c r="E206" s="342">
        <v>0.026504629629629628</v>
      </c>
      <c r="F206" s="245">
        <v>42210</v>
      </c>
      <c r="J206" s="245"/>
      <c r="L206" s="363">
        <f t="shared" si="10"/>
        <v>0.026504629629629628</v>
      </c>
      <c r="O206" s="83"/>
    </row>
    <row r="207" spans="1:24" ht="15">
      <c r="A207" s="341">
        <f t="shared" si="11"/>
        <v>202</v>
      </c>
      <c r="B207" s="15" t="s">
        <v>414</v>
      </c>
      <c r="C207" s="86" t="s">
        <v>464</v>
      </c>
      <c r="D207" s="86"/>
      <c r="E207" s="232">
        <v>0.02693287037037037</v>
      </c>
      <c r="F207" s="245">
        <v>42119</v>
      </c>
      <c r="G207" s="79"/>
      <c r="J207" s="79"/>
      <c r="K207" s="79"/>
      <c r="L207" s="363">
        <f t="shared" si="10"/>
        <v>0.02693287037037037</v>
      </c>
      <c r="M207" s="84"/>
      <c r="N207" s="84"/>
      <c r="O207" s="83"/>
      <c r="X207" s="85"/>
    </row>
    <row r="208" spans="1:15" ht="15">
      <c r="A208" s="341">
        <f t="shared" si="11"/>
        <v>203</v>
      </c>
      <c r="B208" s="15" t="s">
        <v>332</v>
      </c>
      <c r="C208" s="86" t="s">
        <v>465</v>
      </c>
      <c r="D208" s="86"/>
      <c r="E208" s="232">
        <v>0.026990740740740742</v>
      </c>
      <c r="F208" s="245">
        <v>42119</v>
      </c>
      <c r="G208" s="79"/>
      <c r="J208" s="79"/>
      <c r="K208" s="79"/>
      <c r="L208" s="363">
        <f t="shared" si="10"/>
        <v>0.026990740740740742</v>
      </c>
      <c r="M208" s="15"/>
      <c r="N208" s="15"/>
      <c r="O208" s="83"/>
    </row>
    <row r="209" spans="1:24" ht="15">
      <c r="A209" s="341">
        <f t="shared" si="11"/>
        <v>204</v>
      </c>
      <c r="B209" t="s">
        <v>52</v>
      </c>
      <c r="C209" t="s">
        <v>135</v>
      </c>
      <c r="E209" s="232">
        <v>0.033553240740740745</v>
      </c>
      <c r="F209" s="245">
        <v>42007</v>
      </c>
      <c r="G209" s="366"/>
      <c r="J209" s="245"/>
      <c r="K209" s="366"/>
      <c r="L209" s="363">
        <f t="shared" si="10"/>
        <v>0.033553240740740745</v>
      </c>
      <c r="M209" s="231"/>
      <c r="O209" s="83"/>
      <c r="P209" s="233"/>
      <c r="Q209"/>
      <c r="R209"/>
      <c r="S209"/>
      <c r="T209"/>
      <c r="U209"/>
      <c r="V209"/>
      <c r="W209"/>
      <c r="X2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1"/>
  <sheetViews>
    <sheetView showGridLines="0" zoomScalePageLayoutView="0" workbookViewId="0" topLeftCell="A4">
      <selection activeCell="Z13" sqref="Z13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3" width="6.140625" style="0" bestFit="1" customWidth="1"/>
    <col min="14" max="15" width="6.140625" style="0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2" width="7.00390625" style="0" bestFit="1" customWidth="1"/>
    <col min="23" max="23" width="5.7109375" style="0" bestFit="1" customWidth="1"/>
    <col min="24" max="24" width="9.0039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300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180"/>
      <c r="C5" s="181"/>
      <c r="D5" s="181"/>
      <c r="E5" s="182">
        <f>+'Division 1'!E5</f>
        <v>1</v>
      </c>
      <c r="F5" s="182">
        <f>+'Division 1'!F5</f>
        <v>2</v>
      </c>
      <c r="G5" s="182">
        <f>+'Division 1'!G5</f>
        <v>3</v>
      </c>
      <c r="H5" s="182">
        <f>+'Division 1'!H5</f>
        <v>4</v>
      </c>
      <c r="I5" s="182">
        <f>+'Division 1'!I5</f>
        <v>5</v>
      </c>
      <c r="J5" s="182">
        <f>+'Division 1'!J5</f>
        <v>6</v>
      </c>
      <c r="K5" s="182">
        <f>+'Division 1'!K5</f>
        <v>7</v>
      </c>
      <c r="L5" s="182">
        <f>+'Division 1'!L5</f>
        <v>8</v>
      </c>
      <c r="M5" s="182">
        <f>+'Division 1'!M5</f>
        <v>9</v>
      </c>
      <c r="N5" s="182">
        <f>+'Division 1'!N5</f>
        <v>10</v>
      </c>
      <c r="O5" s="182">
        <f>+'Division 1'!O5</f>
        <v>11</v>
      </c>
      <c r="P5" s="182">
        <f>+'Division 1'!P5</f>
        <v>12</v>
      </c>
      <c r="Q5" s="182">
        <f>+'Division 1'!Q5</f>
        <v>13</v>
      </c>
      <c r="R5" s="182">
        <f>+'Division 1'!R5</f>
        <v>14</v>
      </c>
      <c r="S5" s="182">
        <f>+'Division 1'!S5</f>
        <v>15</v>
      </c>
      <c r="T5" s="182">
        <f>+'Division 1'!T5</f>
        <v>16</v>
      </c>
      <c r="U5" s="182">
        <f>+'Division 1'!U5</f>
        <v>17</v>
      </c>
      <c r="V5" s="182">
        <f>+'Division 1'!V5</f>
        <v>18</v>
      </c>
      <c r="W5" s="182">
        <f>+'Division 1'!W5</f>
        <v>19</v>
      </c>
      <c r="X5" s="182">
        <f>+'Division 1'!X5</f>
        <v>20</v>
      </c>
      <c r="Y5" s="239"/>
      <c r="Z5" s="240"/>
    </row>
    <row r="6" spans="2:26" ht="15" customHeight="1" thickBot="1">
      <c r="B6" s="183"/>
      <c r="C6" s="135"/>
      <c r="D6" s="136"/>
      <c r="E6" s="5" t="str">
        <f>+'Division 1'!E6</f>
        <v>Sat</v>
      </c>
      <c r="F6" s="5">
        <f>+'Division 1'!F6</f>
        <v>42015</v>
      </c>
      <c r="G6" s="5">
        <f>+'Division 1'!G6</f>
        <v>42043</v>
      </c>
      <c r="H6" s="5">
        <f>+'Division 1'!H6</f>
        <v>42085</v>
      </c>
      <c r="I6" s="5">
        <f>+'Division 1'!I6</f>
        <v>42113</v>
      </c>
      <c r="J6" s="5">
        <f>+'Division 1'!J6</f>
        <v>42140</v>
      </c>
      <c r="K6" s="5">
        <f>+'Division 1'!K6</f>
        <v>42162</v>
      </c>
      <c r="L6" s="5">
        <f>+'Division 1'!L6</f>
        <v>42186</v>
      </c>
      <c r="M6" s="5">
        <f>+'Division 1'!M6</f>
        <v>42192</v>
      </c>
      <c r="N6" s="5">
        <f>+'Division 1'!N6</f>
        <v>42195</v>
      </c>
      <c r="O6" s="5">
        <f>+'Division 1'!O6</f>
        <v>42214</v>
      </c>
      <c r="P6" s="5">
        <f>+'Division 1'!P6</f>
        <v>42220</v>
      </c>
      <c r="Q6" s="5">
        <f>+'Division 1'!Q6</f>
        <v>42253</v>
      </c>
      <c r="R6" s="5" t="str">
        <f>+'Division 1'!R6</f>
        <v>20-May+23-Sep</v>
      </c>
      <c r="S6" s="5" t="str">
        <f>+'Division 1'!S6</f>
        <v>13 &amp; 27-Sep</v>
      </c>
      <c r="T6" s="5">
        <f>+'Division 1'!T6</f>
        <v>42302</v>
      </c>
      <c r="U6" s="5">
        <f>+'Division 1'!U6</f>
        <v>42316</v>
      </c>
      <c r="V6" s="5" t="str">
        <f>+'Division 1'!V6</f>
        <v>29-Nov</v>
      </c>
      <c r="W6" s="5" t="str">
        <f>+'Division 1'!W6</f>
        <v>13-Dec</v>
      </c>
      <c r="X6" s="5">
        <f>+'Division 1'!X6</f>
        <v>42365</v>
      </c>
      <c r="Y6" s="237"/>
      <c r="Z6" s="241"/>
    </row>
    <row r="7" spans="2:26" ht="91.5" customHeight="1" thickBot="1">
      <c r="B7" s="466"/>
      <c r="C7" s="467"/>
      <c r="D7" s="137"/>
      <c r="E7" s="236" t="str">
        <f>+'Division 1'!E7</f>
        <v>Hudds/Halifax Park Run</v>
      </c>
      <c r="F7" s="236" t="str">
        <f>+'Division 1'!F7</f>
        <v>Stainland Winter Handicap</v>
      </c>
      <c r="G7" s="236" t="str">
        <f>+'Division 1'!G7</f>
        <v>Xcountry Temple Newsham</v>
      </c>
      <c r="H7" s="236" t="str">
        <f>+'Division 1'!H7</f>
        <v>Thirsk</v>
      </c>
      <c r="I7" s="236" t="str">
        <f>+'Division 1'!I7</f>
        <v>Overgate Hospice</v>
      </c>
      <c r="J7" s="236" t="str">
        <f>+'Division 1'!J7</f>
        <v>Sowerby Scorcher</v>
      </c>
      <c r="K7" s="236" t="str">
        <f>+'Division 1'!K7</f>
        <v>Bolton Brow Burner</v>
      </c>
      <c r="L7" s="236" t="str">
        <f>+'Division 1'!L7</f>
        <v>Helen Windsor</v>
      </c>
      <c r="M7" s="236" t="str">
        <f>+'Division 1'!M7</f>
        <v>Crossgates Vets</v>
      </c>
      <c r="N7" s="236" t="str">
        <f>+'Division 1'!N7</f>
        <v>Woodland Challenge</v>
      </c>
      <c r="O7" s="236" t="str">
        <f>+'Division 1'!O7</f>
        <v>Flat Cap</v>
      </c>
      <c r="P7" s="236" t="str">
        <f>+'Division 1'!P7</f>
        <v>Crow Hill</v>
      </c>
      <c r="Q7" s="236" t="str">
        <f>+'Division 1'!Q7</f>
        <v>Kirkwood Hospice</v>
      </c>
      <c r="R7" s="236" t="str">
        <f>+'Division 1'!R7</f>
        <v>Track</v>
      </c>
      <c r="S7" s="236" t="str">
        <f>+'Division 1'!S7</f>
        <v>Yorkshireman / Macclesfield</v>
      </c>
      <c r="T7" s="236" t="str">
        <f>+'Division 1'!T7</f>
        <v>Bronte Way</v>
      </c>
      <c r="U7" s="236" t="str">
        <f>+'Division 1'!U7</f>
        <v>Spen Vets</v>
      </c>
      <c r="V7" s="236" t="str">
        <f>+'Division 1'!V7</f>
        <v>Barnsley</v>
      </c>
      <c r="W7" s="236" t="str">
        <f>+'Division 1'!W7</f>
        <v>Xcountry Dewsbury</v>
      </c>
      <c r="X7" s="236" t="str">
        <f>+'Division 1'!X7</f>
        <v>Ward Green</v>
      </c>
      <c r="Y7" s="464" t="s">
        <v>2</v>
      </c>
      <c r="Z7" s="468" t="s">
        <v>3</v>
      </c>
    </row>
    <row r="8" spans="2:26" s="15" customFormat="1" ht="15.75" customHeight="1" thickBot="1">
      <c r="B8" s="184"/>
      <c r="C8" s="138"/>
      <c r="D8" s="138"/>
      <c r="E8" s="12" t="str">
        <f>+'Division 1'!E8</f>
        <v>5K</v>
      </c>
      <c r="F8" s="12" t="str">
        <f>+'Division 1'!F8</f>
        <v>6ish</v>
      </c>
      <c r="G8" s="12" t="str">
        <f>+'Division 1'!G8</f>
        <v>5.2M</v>
      </c>
      <c r="H8" s="12" t="str">
        <f>+'Division 1'!H8</f>
        <v>10M</v>
      </c>
      <c r="I8" s="12" t="str">
        <f>+'Division 1'!I8</f>
        <v>10K</v>
      </c>
      <c r="J8" s="12" t="str">
        <f>+'Division 1'!J8</f>
        <v>10K</v>
      </c>
      <c r="K8" s="12" t="str">
        <f>+'Division 1'!K8</f>
        <v>10K</v>
      </c>
      <c r="L8" s="12" t="str">
        <f>+'Division 1'!L8</f>
        <v>10K</v>
      </c>
      <c r="M8" s="12" t="str">
        <f>+'Division 1'!M8</f>
        <v>5.2M</v>
      </c>
      <c r="N8" s="12" t="str">
        <f>+'Division 1'!N8</f>
        <v>6.5M</v>
      </c>
      <c r="O8" s="12" t="str">
        <f>+'Division 1'!O8</f>
        <v>5M</v>
      </c>
      <c r="P8" s="12" t="str">
        <f>+'Division 1'!P8</f>
        <v>5M</v>
      </c>
      <c r="Q8" s="12" t="str">
        <f>+'Division 1'!Q8</f>
        <v>10K</v>
      </c>
      <c r="R8" s="12" t="str">
        <f>+'Division 1'!R8</f>
        <v>3K</v>
      </c>
      <c r="S8" s="12" t="str">
        <f>+'Division 1'!S8</f>
        <v>Half</v>
      </c>
      <c r="T8" s="12" t="str">
        <f>+'Division 1'!T8</f>
        <v>8M</v>
      </c>
      <c r="U8" s="12" t="str">
        <f>+'Division 1'!U8</f>
        <v>5M</v>
      </c>
      <c r="V8" s="12" t="str">
        <f>+'Division 1'!V8</f>
        <v>10K</v>
      </c>
      <c r="W8" s="12">
        <f>+'Division 1'!W8</f>
        <v>5.2</v>
      </c>
      <c r="X8" s="12" t="str">
        <f>+'Division 1'!X8</f>
        <v>5.6M</v>
      </c>
      <c r="Y8" s="464"/>
      <c r="Z8" s="468"/>
    </row>
    <row r="9" spans="2:26" s="15" customFormat="1" ht="15.75" customHeight="1" thickBot="1">
      <c r="B9" s="185" t="s">
        <v>20</v>
      </c>
      <c r="C9" s="23" t="s">
        <v>17</v>
      </c>
      <c r="D9" s="22" t="s">
        <v>18</v>
      </c>
      <c r="E9" s="16" t="str">
        <f>+'Division 1'!E9</f>
        <v>Park</v>
      </c>
      <c r="F9" s="16" t="str">
        <f>+'Division 1'!F9</f>
        <v>Road</v>
      </c>
      <c r="G9" s="16" t="str">
        <f>+'Division 1'!G9</f>
        <v>Xcountry</v>
      </c>
      <c r="H9" s="16" t="str">
        <f>+'Division 1'!H9</f>
        <v>Road</v>
      </c>
      <c r="I9" s="16" t="str">
        <f>+'Division 1'!I9</f>
        <v>Road</v>
      </c>
      <c r="J9" s="16" t="str">
        <f>+'Division 1'!J9</f>
        <v>Multi</v>
      </c>
      <c r="K9" s="16" t="str">
        <f>+'Division 1'!K9</f>
        <v>Trail</v>
      </c>
      <c r="L9" s="16" t="str">
        <f>+'Division 1'!L9</f>
        <v>Road</v>
      </c>
      <c r="M9" s="16" t="str">
        <f>+'Division 1'!M9</f>
        <v>Trail</v>
      </c>
      <c r="N9" s="16" t="str">
        <f>+'Division 1'!N9</f>
        <v>Trail</v>
      </c>
      <c r="O9" s="16" t="str">
        <f>+'Division 1'!O9</f>
        <v>Multi</v>
      </c>
      <c r="P9" s="16" t="str">
        <f>+'Division 1'!P9</f>
        <v>Fell</v>
      </c>
      <c r="Q9" s="16" t="str">
        <f>+'Division 1'!Q9</f>
        <v>Trail</v>
      </c>
      <c r="R9" s="16" t="str">
        <f>+'Division 1'!R9</f>
        <v>Track</v>
      </c>
      <c r="S9" s="16" t="str">
        <f>+'Division 1'!S9</f>
        <v>Fell/Road</v>
      </c>
      <c r="T9" s="16" t="str">
        <f>+'Division 1'!T9</f>
        <v>Fell</v>
      </c>
      <c r="U9" s="16" t="str">
        <f>+'Division 1'!U9</f>
        <v>Trail</v>
      </c>
      <c r="V9" s="16" t="str">
        <f>+'Division 1'!V9</f>
        <v>Road</v>
      </c>
      <c r="W9" s="16" t="str">
        <f>+'Division 1'!W9</f>
        <v>Xcountry</v>
      </c>
      <c r="X9" s="16" t="str">
        <f>+'Division 1'!X9</f>
        <v>Road</v>
      </c>
      <c r="Y9" s="455"/>
      <c r="Z9" s="469"/>
    </row>
    <row r="10" spans="2:26" ht="15">
      <c r="B10" s="331">
        <v>1</v>
      </c>
      <c r="C10" s="139" t="s">
        <v>63</v>
      </c>
      <c r="D10" s="139" t="s">
        <v>64</v>
      </c>
      <c r="E10" s="436">
        <v>23</v>
      </c>
      <c r="F10" s="179"/>
      <c r="G10" s="140"/>
      <c r="H10" s="140"/>
      <c r="I10" s="140"/>
      <c r="J10" s="140"/>
      <c r="K10" s="140">
        <v>30</v>
      </c>
      <c r="L10" s="140">
        <v>30</v>
      </c>
      <c r="M10" s="140">
        <v>30</v>
      </c>
      <c r="N10" s="140">
        <v>30</v>
      </c>
      <c r="O10" s="437">
        <v>29</v>
      </c>
      <c r="P10" s="140">
        <v>30</v>
      </c>
      <c r="Q10" s="140">
        <v>30</v>
      </c>
      <c r="R10" s="437">
        <v>26</v>
      </c>
      <c r="S10" s="437">
        <v>28</v>
      </c>
      <c r="T10" s="437">
        <v>29</v>
      </c>
      <c r="U10" s="140">
        <v>29</v>
      </c>
      <c r="V10" s="140">
        <v>30</v>
      </c>
      <c r="W10" s="140">
        <v>29</v>
      </c>
      <c r="X10" s="140"/>
      <c r="Y10" s="141">
        <f>COUNT(E10:X10)</f>
        <v>14</v>
      </c>
      <c r="Z10" s="187">
        <f aca="true" t="shared" si="0" ref="Z10:Z31">IF(Y10&lt;9,SUM(E10:X10),SUM(LARGE(E10:X10,1),LARGE(E10:X10,2),LARGE(E10:X10,3),LARGE(E10:X10,4),LARGE(E10:X10,5),LARGE(E10:X10,6),LARGE(E10:X10,7),LARGE(E10:X10,8),LARGE(E10:X10,9)))</f>
        <v>268</v>
      </c>
    </row>
    <row r="11" spans="2:26" ht="15">
      <c r="B11" s="186">
        <v>2</v>
      </c>
      <c r="C11" s="139" t="s">
        <v>258</v>
      </c>
      <c r="D11" s="142" t="s">
        <v>257</v>
      </c>
      <c r="E11" s="178">
        <v>29</v>
      </c>
      <c r="F11" s="437">
        <v>26</v>
      </c>
      <c r="G11" s="140"/>
      <c r="H11" s="140">
        <v>29</v>
      </c>
      <c r="I11" s="140">
        <v>29</v>
      </c>
      <c r="J11" s="140"/>
      <c r="K11" s="140"/>
      <c r="L11" s="437">
        <v>28</v>
      </c>
      <c r="M11" s="140"/>
      <c r="N11" s="140"/>
      <c r="O11" s="140">
        <v>30</v>
      </c>
      <c r="P11" s="437">
        <v>26</v>
      </c>
      <c r="Q11" s="140"/>
      <c r="R11" s="140">
        <v>30</v>
      </c>
      <c r="S11" s="140"/>
      <c r="T11" s="140">
        <v>30</v>
      </c>
      <c r="U11" s="140">
        <v>30</v>
      </c>
      <c r="V11" s="140">
        <v>29</v>
      </c>
      <c r="W11" s="437">
        <v>28</v>
      </c>
      <c r="X11" s="140">
        <v>30</v>
      </c>
      <c r="Y11" s="141">
        <f aca="true" t="shared" si="1" ref="Y11:Y16">COUNT(E11:X11)</f>
        <v>13</v>
      </c>
      <c r="Z11" s="187">
        <f>IF(Y11&lt;9,SUM(E11:X11),SUM(LARGE(E11:X11,1),LARGE(E11:X11,2),LARGE(E11:X11,3),LARGE(E11:X11,4),LARGE(E11:X11,5),LARGE(E11:X11,6),LARGE(E11:X11,7),LARGE(E11:X11,8),LARGE(E11:X11,9)))</f>
        <v>266</v>
      </c>
    </row>
    <row r="12" spans="2:26" ht="15">
      <c r="B12" s="186">
        <v>3</v>
      </c>
      <c r="C12" s="139" t="s">
        <v>78</v>
      </c>
      <c r="D12" s="139" t="s">
        <v>79</v>
      </c>
      <c r="E12" s="436">
        <v>27</v>
      </c>
      <c r="F12" s="178"/>
      <c r="G12" s="140"/>
      <c r="H12" s="437">
        <v>28</v>
      </c>
      <c r="I12" s="140"/>
      <c r="J12" s="140"/>
      <c r="K12" s="140">
        <v>29</v>
      </c>
      <c r="L12" s="140">
        <v>29</v>
      </c>
      <c r="M12" s="140"/>
      <c r="N12" s="437">
        <v>28</v>
      </c>
      <c r="O12" s="140">
        <v>28</v>
      </c>
      <c r="P12" s="140">
        <v>28</v>
      </c>
      <c r="Q12" s="140"/>
      <c r="R12" s="140">
        <v>29</v>
      </c>
      <c r="S12" s="140">
        <v>29</v>
      </c>
      <c r="T12" s="140">
        <v>28</v>
      </c>
      <c r="U12" s="140">
        <v>28</v>
      </c>
      <c r="V12" s="140">
        <v>28</v>
      </c>
      <c r="W12" s="140"/>
      <c r="X12" s="140"/>
      <c r="Y12" s="141">
        <f t="shared" si="1"/>
        <v>12</v>
      </c>
      <c r="Z12" s="187">
        <f>IF(Y12&lt;9,SUM(E12:X12),SUM(LARGE(E12:X12,1),LARGE(E12:X12,2),LARGE(E12:X12,3),LARGE(E12:X12,4),LARGE(E12:X12,5),LARGE(E12:X12,6),LARGE(E12:X12,7),LARGE(E12:X12,8),LARGE(E12:X12,9)))</f>
        <v>256</v>
      </c>
    </row>
    <row r="13" spans="2:26" ht="15">
      <c r="B13" s="332">
        <v>4</v>
      </c>
      <c r="C13" s="139" t="s">
        <v>31</v>
      </c>
      <c r="D13" s="139" t="s">
        <v>75</v>
      </c>
      <c r="E13" s="436">
        <v>14</v>
      </c>
      <c r="F13" s="437">
        <v>22</v>
      </c>
      <c r="G13" s="437">
        <v>25</v>
      </c>
      <c r="H13" s="140">
        <v>27</v>
      </c>
      <c r="I13" s="140">
        <v>27</v>
      </c>
      <c r="J13" s="140">
        <v>27</v>
      </c>
      <c r="K13" s="140">
        <v>26</v>
      </c>
      <c r="L13" s="140">
        <v>27</v>
      </c>
      <c r="M13" s="140">
        <v>29</v>
      </c>
      <c r="N13" s="437">
        <v>25</v>
      </c>
      <c r="O13" s="140"/>
      <c r="P13" s="140"/>
      <c r="Q13" s="140">
        <v>27</v>
      </c>
      <c r="R13" s="437">
        <v>23</v>
      </c>
      <c r="S13" s="140"/>
      <c r="T13" s="140"/>
      <c r="U13" s="140"/>
      <c r="V13" s="140">
        <v>26</v>
      </c>
      <c r="W13" s="437">
        <v>21</v>
      </c>
      <c r="X13" s="140">
        <v>29</v>
      </c>
      <c r="Y13" s="139">
        <f t="shared" si="1"/>
        <v>15</v>
      </c>
      <c r="Z13" s="187">
        <f t="shared" si="0"/>
        <v>245</v>
      </c>
    </row>
    <row r="14" spans="2:26" ht="15">
      <c r="B14" s="186">
        <v>5</v>
      </c>
      <c r="C14" s="139" t="s">
        <v>76</v>
      </c>
      <c r="D14" s="142" t="s">
        <v>77</v>
      </c>
      <c r="E14" s="178">
        <v>18</v>
      </c>
      <c r="F14" s="178">
        <v>29</v>
      </c>
      <c r="G14" s="140">
        <v>30</v>
      </c>
      <c r="H14" s="140"/>
      <c r="I14" s="140"/>
      <c r="J14" s="140">
        <v>30</v>
      </c>
      <c r="K14" s="140"/>
      <c r="L14" s="140"/>
      <c r="M14" s="140"/>
      <c r="N14" s="140"/>
      <c r="O14" s="140">
        <v>23</v>
      </c>
      <c r="P14" s="140"/>
      <c r="Q14" s="140"/>
      <c r="R14" s="140">
        <v>28</v>
      </c>
      <c r="S14" s="140"/>
      <c r="T14" s="140"/>
      <c r="U14" s="140">
        <v>27</v>
      </c>
      <c r="V14" s="140">
        <v>27</v>
      </c>
      <c r="W14" s="140">
        <v>26</v>
      </c>
      <c r="X14" s="140"/>
      <c r="Y14" s="139">
        <f t="shared" si="1"/>
        <v>9</v>
      </c>
      <c r="Z14" s="187">
        <f>IF(Y14&lt;9,SUM(E14:X14),SUM(LARGE(E14:X14,1),LARGE(E14:X14,2),LARGE(E14:X14,3),LARGE(E14:X14,4),LARGE(E14:X14,5),LARGE(E14:X14,6),LARGE(E14:X14,7),LARGE(E14:X14,8),LARGE(E14:X14,9)))</f>
        <v>238</v>
      </c>
    </row>
    <row r="15" spans="2:26" ht="15">
      <c r="B15" s="186">
        <v>6</v>
      </c>
      <c r="C15" s="139" t="s">
        <v>80</v>
      </c>
      <c r="D15" s="139" t="s">
        <v>81</v>
      </c>
      <c r="E15" s="178">
        <v>22</v>
      </c>
      <c r="F15" s="178"/>
      <c r="G15" s="140">
        <v>29</v>
      </c>
      <c r="H15" s="140"/>
      <c r="I15" s="140"/>
      <c r="J15" s="140"/>
      <c r="K15" s="140"/>
      <c r="L15" s="140"/>
      <c r="M15" s="140"/>
      <c r="N15" s="140">
        <v>29</v>
      </c>
      <c r="O15" s="140">
        <v>27</v>
      </c>
      <c r="P15" s="140">
        <v>29</v>
      </c>
      <c r="Q15" s="140">
        <v>29</v>
      </c>
      <c r="R15" s="140"/>
      <c r="S15" s="140"/>
      <c r="T15" s="140"/>
      <c r="U15" s="140"/>
      <c r="V15" s="140"/>
      <c r="W15" s="140">
        <v>27</v>
      </c>
      <c r="X15" s="140"/>
      <c r="Y15" s="141">
        <f t="shared" si="1"/>
        <v>7</v>
      </c>
      <c r="Z15" s="187">
        <f t="shared" si="0"/>
        <v>192</v>
      </c>
    </row>
    <row r="16" spans="2:26" ht="15">
      <c r="B16" s="186">
        <v>7</v>
      </c>
      <c r="C16" s="142" t="s">
        <v>113</v>
      </c>
      <c r="D16" s="142" t="s">
        <v>114</v>
      </c>
      <c r="E16" s="178">
        <v>25</v>
      </c>
      <c r="F16" s="178">
        <v>21</v>
      </c>
      <c r="G16" s="140"/>
      <c r="H16" s="140"/>
      <c r="I16" s="140"/>
      <c r="J16" s="140"/>
      <c r="K16" s="140"/>
      <c r="L16" s="140"/>
      <c r="M16" s="140"/>
      <c r="N16" s="140">
        <v>27</v>
      </c>
      <c r="O16" s="140">
        <v>24</v>
      </c>
      <c r="P16" s="140"/>
      <c r="Q16" s="140">
        <v>28</v>
      </c>
      <c r="R16" s="140">
        <v>27</v>
      </c>
      <c r="S16" s="140"/>
      <c r="T16" s="140"/>
      <c r="U16" s="140"/>
      <c r="V16" s="140"/>
      <c r="W16" s="140"/>
      <c r="X16" s="140"/>
      <c r="Y16" s="139">
        <f t="shared" si="1"/>
        <v>6</v>
      </c>
      <c r="Z16" s="187">
        <f t="shared" si="0"/>
        <v>152</v>
      </c>
    </row>
    <row r="17" spans="2:26" ht="15">
      <c r="B17" s="186">
        <v>8</v>
      </c>
      <c r="C17" s="139" t="s">
        <v>69</v>
      </c>
      <c r="D17" s="139" t="s">
        <v>70</v>
      </c>
      <c r="E17" s="178">
        <v>30</v>
      </c>
      <c r="F17" s="178"/>
      <c r="G17" s="140"/>
      <c r="H17" s="140"/>
      <c r="I17" s="140"/>
      <c r="J17" s="140"/>
      <c r="K17" s="140">
        <v>27</v>
      </c>
      <c r="L17" s="140"/>
      <c r="M17" s="140"/>
      <c r="N17" s="140">
        <v>26</v>
      </c>
      <c r="O17" s="140">
        <v>26</v>
      </c>
      <c r="P17" s="140"/>
      <c r="Q17" s="140"/>
      <c r="R17" s="140"/>
      <c r="S17" s="140"/>
      <c r="T17" s="140"/>
      <c r="U17" s="140"/>
      <c r="V17" s="140"/>
      <c r="W17" s="140">
        <v>30</v>
      </c>
      <c r="X17" s="140"/>
      <c r="Y17" s="141">
        <f>COUNT(E17:X17)</f>
        <v>5</v>
      </c>
      <c r="Z17" s="187">
        <f>IF(Y17&lt;9,SUM(E17:X17),SUM(LARGE(E17:X17,1),LARGE(E17:X17,2),LARGE(E17:X17,3),LARGE(E17:X17,4),LARGE(E17:X17,5),LARGE(E17:X17,6),LARGE(E17:X17,7),LARGE(E17:X17,8),LARGE(E17:X17,9)))</f>
        <v>139</v>
      </c>
    </row>
    <row r="18" spans="2:26" ht="15">
      <c r="B18" s="186">
        <v>9</v>
      </c>
      <c r="C18" s="139" t="s">
        <v>39</v>
      </c>
      <c r="D18" s="139" t="s">
        <v>87</v>
      </c>
      <c r="E18" s="178">
        <v>28</v>
      </c>
      <c r="F18" s="178"/>
      <c r="G18" s="140">
        <v>28</v>
      </c>
      <c r="H18" s="140">
        <v>30</v>
      </c>
      <c r="I18" s="140">
        <v>30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>
        <v>22</v>
      </c>
      <c r="X18" s="140"/>
      <c r="Y18" s="141">
        <f>COUNT(E18:X18)</f>
        <v>5</v>
      </c>
      <c r="Z18" s="187">
        <f>IF(Y18&lt;9,SUM(E18:X18),SUM(LARGE(E18:X18,1),LARGE(E18:X18,2),LARGE(E18:X18,3),LARGE(E18:X18,4),LARGE(E18:X18,5),LARGE(E18:X18,6),LARGE(E18:X18,7),LARGE(E18:X18,8),LARGE(E18:X18,9)))</f>
        <v>138</v>
      </c>
    </row>
    <row r="19" spans="2:26" ht="15">
      <c r="B19" s="186">
        <v>10</v>
      </c>
      <c r="C19" s="139" t="s">
        <v>105</v>
      </c>
      <c r="D19" s="139" t="s">
        <v>106</v>
      </c>
      <c r="E19" s="178">
        <v>17</v>
      </c>
      <c r="F19" s="178">
        <v>25</v>
      </c>
      <c r="G19" s="140">
        <v>26</v>
      </c>
      <c r="H19" s="140"/>
      <c r="I19" s="140"/>
      <c r="J19" s="140"/>
      <c r="K19" s="140">
        <v>28</v>
      </c>
      <c r="L19" s="140"/>
      <c r="M19" s="140"/>
      <c r="N19" s="140"/>
      <c r="O19" s="140"/>
      <c r="P19" s="140"/>
      <c r="Q19" s="140"/>
      <c r="R19" s="140">
        <v>25</v>
      </c>
      <c r="S19" s="140"/>
      <c r="T19" s="140"/>
      <c r="U19" s="140"/>
      <c r="V19" s="140"/>
      <c r="W19" s="140"/>
      <c r="X19" s="140"/>
      <c r="Y19" s="141">
        <f aca="true" t="shared" si="2" ref="Y19:Y31">COUNT(E19:X19)</f>
        <v>5</v>
      </c>
      <c r="Z19" s="187">
        <f t="shared" si="0"/>
        <v>121</v>
      </c>
    </row>
    <row r="20" spans="2:26" ht="15">
      <c r="B20" s="186">
        <v>11</v>
      </c>
      <c r="C20" s="139" t="s">
        <v>98</v>
      </c>
      <c r="D20" s="139" t="s">
        <v>99</v>
      </c>
      <c r="E20" s="178"/>
      <c r="F20" s="178">
        <v>27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>
        <v>27</v>
      </c>
      <c r="U20" s="140">
        <v>25</v>
      </c>
      <c r="V20" s="140"/>
      <c r="W20" s="140">
        <v>24</v>
      </c>
      <c r="X20" s="140"/>
      <c r="Y20" s="141">
        <f>COUNT(E20:X20)</f>
        <v>4</v>
      </c>
      <c r="Z20" s="187">
        <f>IF(Y20&lt;9,SUM(E20:X20),SUM(LARGE(E20:X20,1),LARGE(E20:X20,2),LARGE(E20:X20,3),LARGE(E20:X20,4),LARGE(E20:X20,5),LARGE(E20:X20,6),LARGE(E20:X20,7),LARGE(E20:X20,8),LARGE(E20:X20,9)))</f>
        <v>103</v>
      </c>
    </row>
    <row r="21" spans="2:26" ht="15">
      <c r="B21" s="186">
        <v>12</v>
      </c>
      <c r="C21" s="139" t="s">
        <v>89</v>
      </c>
      <c r="D21" s="139" t="s">
        <v>90</v>
      </c>
      <c r="E21" s="178">
        <v>20</v>
      </c>
      <c r="F21" s="178">
        <v>24</v>
      </c>
      <c r="G21" s="140">
        <v>27</v>
      </c>
      <c r="H21" s="140"/>
      <c r="I21" s="140">
        <v>28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39">
        <f t="shared" si="2"/>
        <v>4</v>
      </c>
      <c r="Z21" s="187">
        <f t="shared" si="0"/>
        <v>99</v>
      </c>
    </row>
    <row r="22" spans="2:26" ht="15">
      <c r="B22" s="186">
        <v>13</v>
      </c>
      <c r="C22" s="139" t="s">
        <v>85</v>
      </c>
      <c r="D22" s="139" t="s">
        <v>86</v>
      </c>
      <c r="E22" s="178">
        <v>15</v>
      </c>
      <c r="F22" s="178">
        <v>28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>
        <v>27</v>
      </c>
      <c r="Q22" s="140"/>
      <c r="R22" s="140"/>
      <c r="S22" s="140"/>
      <c r="T22" s="140"/>
      <c r="U22" s="140"/>
      <c r="V22" s="140"/>
      <c r="W22" s="140">
        <v>25</v>
      </c>
      <c r="X22" s="140"/>
      <c r="Y22" s="139">
        <f>COUNT(E22:X22)</f>
        <v>4</v>
      </c>
      <c r="Z22" s="187">
        <f>IF(Y22&lt;9,SUM(E22:X22),SUM(LARGE(E22:X22,1),LARGE(E22:X22,2),LARGE(E22:X22,3),LARGE(E22:X22,4),LARGE(E22:X22,5),LARGE(E22:X22,6),LARGE(E22:X22,7),LARGE(E22:X22,8),LARGE(E22:X22,9)))</f>
        <v>95</v>
      </c>
    </row>
    <row r="23" spans="2:26" ht="15">
      <c r="B23" s="186">
        <v>14</v>
      </c>
      <c r="C23" s="139" t="s">
        <v>71</v>
      </c>
      <c r="D23" s="139" t="s">
        <v>72</v>
      </c>
      <c r="E23" s="178"/>
      <c r="F23" s="178">
        <v>30</v>
      </c>
      <c r="G23" s="140">
        <v>24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>
        <v>27</v>
      </c>
      <c r="T23" s="140"/>
      <c r="U23" s="140"/>
      <c r="V23" s="140"/>
      <c r="W23" s="140"/>
      <c r="X23" s="140"/>
      <c r="Y23" s="141">
        <f t="shared" si="2"/>
        <v>3</v>
      </c>
      <c r="Z23" s="187">
        <f>IF(Y23&lt;9,SUM(E23:X23),SUM(LARGE(E23:X23,1),LARGE(E23:X23,2),LARGE(E23:X23,3),LARGE(E23:X23,4),LARGE(E23:X23,5),LARGE(E23:X23,6),LARGE(E23:X23,7),LARGE(E23:X23,8),LARGE(E23:X23,9)))</f>
        <v>81</v>
      </c>
    </row>
    <row r="24" spans="2:26" ht="15">
      <c r="B24" s="331">
        <v>15</v>
      </c>
      <c r="C24" s="139" t="s">
        <v>73</v>
      </c>
      <c r="D24" s="139" t="s">
        <v>74</v>
      </c>
      <c r="E24" s="178">
        <v>21</v>
      </c>
      <c r="F24" s="178"/>
      <c r="G24" s="140"/>
      <c r="H24" s="140"/>
      <c r="I24" s="140"/>
      <c r="J24" s="140"/>
      <c r="K24" s="140"/>
      <c r="L24" s="140"/>
      <c r="M24" s="140"/>
      <c r="N24" s="140"/>
      <c r="O24" s="140">
        <v>25</v>
      </c>
      <c r="P24" s="140"/>
      <c r="Q24" s="140"/>
      <c r="R24" s="140">
        <v>24</v>
      </c>
      <c r="S24" s="140"/>
      <c r="T24" s="140"/>
      <c r="U24" s="140"/>
      <c r="V24" s="140"/>
      <c r="W24" s="140"/>
      <c r="X24" s="140"/>
      <c r="Y24" s="141">
        <f t="shared" si="2"/>
        <v>3</v>
      </c>
      <c r="Z24" s="187">
        <f t="shared" si="0"/>
        <v>70</v>
      </c>
    </row>
    <row r="25" spans="2:26" ht="15">
      <c r="B25" s="186">
        <v>16</v>
      </c>
      <c r="C25" s="139" t="s">
        <v>82</v>
      </c>
      <c r="D25" s="139" t="s">
        <v>83</v>
      </c>
      <c r="E25" s="178">
        <v>16</v>
      </c>
      <c r="F25" s="178">
        <v>23</v>
      </c>
      <c r="G25" s="140"/>
      <c r="H25" s="140"/>
      <c r="I25" s="140"/>
      <c r="J25" s="140"/>
      <c r="K25" s="140"/>
      <c r="L25" s="140">
        <v>26</v>
      </c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1">
        <f t="shared" si="2"/>
        <v>3</v>
      </c>
      <c r="Z25" s="187">
        <f t="shared" si="0"/>
        <v>65</v>
      </c>
    </row>
    <row r="26" spans="2:26" ht="15">
      <c r="B26" s="331">
        <v>17</v>
      </c>
      <c r="C26" s="139" t="s">
        <v>92</v>
      </c>
      <c r="D26" s="139" t="s">
        <v>93</v>
      </c>
      <c r="E26" s="178">
        <v>26</v>
      </c>
      <c r="F26" s="178"/>
      <c r="G26" s="140"/>
      <c r="H26" s="140"/>
      <c r="I26" s="140"/>
      <c r="J26" s="140">
        <v>28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39">
        <f t="shared" si="2"/>
        <v>2</v>
      </c>
      <c r="Z26" s="187">
        <f>IF(Y26&lt;9,SUM(E26:X26),SUM(LARGE(E26:X26,1),LARGE(E26:X26,2),LARGE(E26:X26,3),LARGE(E26:X26,4),LARGE(E26:X26,5),LARGE(E26:X26,6),LARGE(E26:X26,7),LARGE(E26:X26,8),LARGE(E26:X26,9)))</f>
        <v>54</v>
      </c>
    </row>
    <row r="27" spans="2:26" ht="15">
      <c r="B27" s="331">
        <v>18</v>
      </c>
      <c r="C27" s="139" t="s">
        <v>67</v>
      </c>
      <c r="D27" s="139" t="s">
        <v>68</v>
      </c>
      <c r="E27" s="179">
        <v>24</v>
      </c>
      <c r="F27" s="179"/>
      <c r="G27" s="140"/>
      <c r="H27" s="140"/>
      <c r="I27" s="140"/>
      <c r="J27" s="140">
        <v>29</v>
      </c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39">
        <f t="shared" si="2"/>
        <v>2</v>
      </c>
      <c r="Z27" s="187">
        <f t="shared" si="0"/>
        <v>53</v>
      </c>
    </row>
    <row r="28" spans="2:26" ht="15">
      <c r="B28" s="331">
        <v>20</v>
      </c>
      <c r="C28" s="139" t="s">
        <v>61</v>
      </c>
      <c r="D28" s="139" t="s">
        <v>62</v>
      </c>
      <c r="E28" s="178"/>
      <c r="F28" s="178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>
        <v>26</v>
      </c>
      <c r="V28" s="140"/>
      <c r="W28" s="140">
        <v>23</v>
      </c>
      <c r="X28" s="140"/>
      <c r="Y28" s="141">
        <f>COUNT(E28:X28)</f>
        <v>2</v>
      </c>
      <c r="Z28" s="187">
        <f>IF(Y28&lt;9,SUM(E28:X28),SUM(LARGE(E28:X28,1),LARGE(E28:X28,2),LARGE(E28:X28,3),LARGE(E28:X28,4),LARGE(E28:X28,5),LARGE(E28:X28,6),LARGE(E28:X28,7),LARGE(E28:X28,8),LARGE(E28:X28,9)))</f>
        <v>49</v>
      </c>
    </row>
    <row r="29" spans="2:26" ht="15">
      <c r="B29" s="331">
        <v>19</v>
      </c>
      <c r="C29" s="139" t="s">
        <v>47</v>
      </c>
      <c r="D29" s="139" t="s">
        <v>34</v>
      </c>
      <c r="E29" s="178"/>
      <c r="F29" s="178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>
        <v>30</v>
      </c>
      <c r="T29" s="140"/>
      <c r="U29" s="140"/>
      <c r="V29" s="140"/>
      <c r="W29" s="140"/>
      <c r="X29" s="140"/>
      <c r="Y29" s="139">
        <f t="shared" si="2"/>
        <v>1</v>
      </c>
      <c r="Z29" s="187">
        <f>IF(Y29&lt;9,SUM(E29:X29),SUM(LARGE(E29:X29,1),LARGE(E29:X29,2),LARGE(E29:X29,3),LARGE(E29:X29,4),LARGE(E29:X29,5),LARGE(E29:X29,6),LARGE(E29:X29,7),LARGE(E29:X29,8),LARGE(E29:X29,9)))</f>
        <v>30</v>
      </c>
    </row>
    <row r="30" spans="2:26" ht="15">
      <c r="B30" s="186">
        <v>21</v>
      </c>
      <c r="C30" s="139" t="s">
        <v>253</v>
      </c>
      <c r="D30" s="139" t="s">
        <v>252</v>
      </c>
      <c r="E30" s="178">
        <v>19</v>
      </c>
      <c r="F30" s="178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1">
        <f t="shared" si="2"/>
        <v>1</v>
      </c>
      <c r="Z30" s="187">
        <f t="shared" si="0"/>
        <v>19</v>
      </c>
    </row>
    <row r="31" spans="2:26" ht="15.75" thickBot="1">
      <c r="B31" s="188">
        <v>22</v>
      </c>
      <c r="C31" s="189" t="s">
        <v>65</v>
      </c>
      <c r="D31" s="189" t="s">
        <v>66</v>
      </c>
      <c r="E31" s="190"/>
      <c r="F31" s="19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2">
        <f t="shared" si="2"/>
        <v>0</v>
      </c>
      <c r="Z31" s="193">
        <f t="shared" si="0"/>
        <v>0</v>
      </c>
    </row>
    <row r="32" ht="15.75" thickTop="1"/>
  </sheetData>
  <sheetProtection/>
  <mergeCells count="4">
    <mergeCell ref="B7:C7"/>
    <mergeCell ref="Z7:Z9"/>
    <mergeCell ref="Y7:Y9"/>
    <mergeCell ref="T2:Y2"/>
  </mergeCells>
  <conditionalFormatting sqref="Y10:Y31">
    <cfRule type="cellIs" priority="1" dxfId="26" operator="greaterThan" stopIfTrue="1">
      <formula>9</formula>
    </cfRule>
  </conditionalFormatting>
  <conditionalFormatting sqref="Y10:Y12 Y14:Y15 Y17:Y31">
    <cfRule type="cellIs" priority="12" dxfId="0" operator="greaterThan" stopIfTrue="1">
      <formula>9</formula>
    </cfRule>
  </conditionalFormatting>
  <conditionalFormatting sqref="E32:Y32">
    <cfRule type="cellIs" priority="9" dxfId="26" operator="equal" stopIfTrue="1">
      <formula>20</formula>
    </cfRule>
  </conditionalFormatting>
  <conditionalFormatting sqref="E10:X31">
    <cfRule type="cellIs" priority="16" dxfId="27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34"/>
  <sheetViews>
    <sheetView showGridLines="0" zoomScalePageLayoutView="0" workbookViewId="0" topLeftCell="C8">
      <selection activeCell="X20" sqref="X20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3" width="6.28125" style="0" bestFit="1" customWidth="1"/>
    <col min="14" max="15" width="6.28125" style="0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1" width="7.00390625" style="0" bestFit="1" customWidth="1"/>
    <col min="22" max="22" width="5.7109375" style="0" bestFit="1" customWidth="1"/>
    <col min="23" max="23" width="9.00390625" style="0" bestFit="1" customWidth="1"/>
    <col min="24" max="24" width="7.0039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301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99"/>
      <c r="C5" s="100"/>
      <c r="D5" s="100"/>
      <c r="E5" s="1">
        <f>+'Division 1'!E5</f>
        <v>1</v>
      </c>
      <c r="F5" s="1">
        <f>+'Division 1'!F5</f>
        <v>2</v>
      </c>
      <c r="G5" s="1">
        <f>+'Division 1'!G5</f>
        <v>3</v>
      </c>
      <c r="H5" s="1">
        <f>+'Division 1'!H5</f>
        <v>4</v>
      </c>
      <c r="I5" s="1">
        <f>+'Division 1'!I5</f>
        <v>5</v>
      </c>
      <c r="J5" s="1">
        <f>+'Division 1'!J5</f>
        <v>6</v>
      </c>
      <c r="K5" s="1">
        <f>+'Division 1'!K5</f>
        <v>7</v>
      </c>
      <c r="L5" s="1">
        <f>+'Division 1'!L5</f>
        <v>8</v>
      </c>
      <c r="M5" s="1">
        <f>+'Division 1'!M5</f>
        <v>9</v>
      </c>
      <c r="N5" s="1">
        <f>+'Division 1'!N5</f>
        <v>10</v>
      </c>
      <c r="O5" s="1">
        <f>+'Division 1'!O5</f>
        <v>11</v>
      </c>
      <c r="P5" s="1">
        <f>+'Division 1'!P5</f>
        <v>12</v>
      </c>
      <c r="Q5" s="1">
        <f>+'Division 1'!Q5</f>
        <v>13</v>
      </c>
      <c r="R5" s="1">
        <f>+'Division 1'!R5</f>
        <v>14</v>
      </c>
      <c r="S5" s="1">
        <f>+'Division 1'!S5</f>
        <v>15</v>
      </c>
      <c r="T5" s="1">
        <f>+'Division 1'!T5</f>
        <v>16</v>
      </c>
      <c r="U5" s="1">
        <f>+'Division 1'!U5</f>
        <v>17</v>
      </c>
      <c r="V5" s="1">
        <f>+'Division 1'!V5</f>
        <v>18</v>
      </c>
      <c r="W5" s="1">
        <f>+'Division 1'!W5</f>
        <v>19</v>
      </c>
      <c r="X5" s="229">
        <f>+'Division 1'!X5</f>
        <v>20</v>
      </c>
      <c r="Y5" s="228"/>
      <c r="Z5" s="4"/>
    </row>
    <row r="6" spans="2:26" ht="15" customHeight="1" thickBot="1">
      <c r="B6" s="101"/>
      <c r="C6" s="102"/>
      <c r="D6" s="103"/>
      <c r="E6" s="5" t="str">
        <f>+'Division 1'!E6</f>
        <v>Sat</v>
      </c>
      <c r="F6" s="5">
        <f>+'Division 1'!F6</f>
        <v>42015</v>
      </c>
      <c r="G6" s="5">
        <f>+'Division 1'!G6</f>
        <v>42043</v>
      </c>
      <c r="H6" s="5">
        <f>+'Division 1'!H6</f>
        <v>42085</v>
      </c>
      <c r="I6" s="5">
        <f>+'Division 1'!I6</f>
        <v>42113</v>
      </c>
      <c r="J6" s="5">
        <f>+'Division 1'!J6</f>
        <v>42140</v>
      </c>
      <c r="K6" s="5">
        <f>+'Division 1'!K6</f>
        <v>42162</v>
      </c>
      <c r="L6" s="5">
        <f>+'Division 1'!L6</f>
        <v>42186</v>
      </c>
      <c r="M6" s="5">
        <f>+'Division 1'!M6</f>
        <v>42192</v>
      </c>
      <c r="N6" s="5">
        <f>+'Division 1'!N6</f>
        <v>42195</v>
      </c>
      <c r="O6" s="5">
        <f>+'Division 1'!O6</f>
        <v>42214</v>
      </c>
      <c r="P6" s="5">
        <f>+'Division 1'!P6</f>
        <v>42220</v>
      </c>
      <c r="Q6" s="5">
        <f>+'Division 1'!Q6</f>
        <v>42253</v>
      </c>
      <c r="R6" s="5" t="str">
        <f>+'Division 1'!R6</f>
        <v>20-May+23-Sep</v>
      </c>
      <c r="S6" s="5" t="str">
        <f>+'Division 1'!S6</f>
        <v>13 &amp; 27-Sep</v>
      </c>
      <c r="T6" s="5">
        <f>+'Division 1'!T6</f>
        <v>42302</v>
      </c>
      <c r="U6" s="5">
        <f>+'Division 1'!U6</f>
        <v>42316</v>
      </c>
      <c r="V6" s="5" t="str">
        <f>+'Division 1'!V6</f>
        <v>29-Nov</v>
      </c>
      <c r="W6" s="5" t="str">
        <f>+'Division 1'!W6</f>
        <v>13-Dec</v>
      </c>
      <c r="X6" s="5">
        <f>+'Division 1'!X6</f>
        <v>42365</v>
      </c>
      <c r="Y6" s="237"/>
      <c r="Z6" s="242"/>
    </row>
    <row r="7" spans="2:26" ht="91.5" customHeight="1" thickBot="1">
      <c r="B7" s="470"/>
      <c r="C7" s="471"/>
      <c r="D7" s="104"/>
      <c r="E7" s="236" t="str">
        <f>+'Division 1'!E7</f>
        <v>Hudds/Halifax Park Run</v>
      </c>
      <c r="F7" s="236" t="str">
        <f>+'Division 1'!F7</f>
        <v>Stainland Winter Handicap</v>
      </c>
      <c r="G7" s="236" t="str">
        <f>+'Division 1'!G7</f>
        <v>Xcountry Temple Newsham</v>
      </c>
      <c r="H7" s="236" t="str">
        <f>+'Division 1'!H7</f>
        <v>Thirsk</v>
      </c>
      <c r="I7" s="236" t="str">
        <f>+'Division 1'!I7</f>
        <v>Overgate Hospice</v>
      </c>
      <c r="J7" s="236" t="str">
        <f>+'Division 1'!J7</f>
        <v>Sowerby Scorcher</v>
      </c>
      <c r="K7" s="236" t="str">
        <f>+'Division 1'!K7</f>
        <v>Bolton Brow Burner</v>
      </c>
      <c r="L7" s="236" t="str">
        <f>+'Division 1'!L7</f>
        <v>Helen Windsor</v>
      </c>
      <c r="M7" s="236" t="str">
        <f>+'Division 1'!M7</f>
        <v>Crossgates Vets</v>
      </c>
      <c r="N7" s="236" t="str">
        <f>+'Division 1'!N7</f>
        <v>Woodland Challenge</v>
      </c>
      <c r="O7" s="236" t="str">
        <f>+'Division 1'!O7</f>
        <v>Flat Cap</v>
      </c>
      <c r="P7" s="236" t="str">
        <f>+'Division 1'!P7</f>
        <v>Crow Hill</v>
      </c>
      <c r="Q7" s="236" t="str">
        <f>+'Division 1'!Q7</f>
        <v>Kirkwood Hospice</v>
      </c>
      <c r="R7" s="236" t="str">
        <f>+'Division 1'!R7</f>
        <v>Track</v>
      </c>
      <c r="S7" s="236" t="str">
        <f>+'Division 1'!S7</f>
        <v>Yorkshireman / Macclesfield</v>
      </c>
      <c r="T7" s="236" t="str">
        <f>+'Division 1'!T7</f>
        <v>Bronte Way</v>
      </c>
      <c r="U7" s="236" t="str">
        <f>+'Division 1'!U7</f>
        <v>Spen Vets</v>
      </c>
      <c r="V7" s="236" t="str">
        <f>+'Division 1'!V7</f>
        <v>Barnsley</v>
      </c>
      <c r="W7" s="236" t="str">
        <f>+'Division 1'!W7</f>
        <v>Xcountry Dewsbury</v>
      </c>
      <c r="X7" s="236" t="str">
        <f>+'Division 1'!X7</f>
        <v>Ward Green</v>
      </c>
      <c r="Y7" s="464" t="s">
        <v>2</v>
      </c>
      <c r="Z7" s="472" t="s">
        <v>3</v>
      </c>
    </row>
    <row r="8" spans="2:26" s="15" customFormat="1" ht="15.75" customHeight="1" thickBot="1">
      <c r="B8" s="105"/>
      <c r="C8" s="106"/>
      <c r="D8" s="106"/>
      <c r="E8" s="12" t="str">
        <f>+'Division 1'!E8</f>
        <v>5K</v>
      </c>
      <c r="F8" s="12" t="str">
        <f>+'Division 1'!F8</f>
        <v>6ish</v>
      </c>
      <c r="G8" s="12" t="str">
        <f>+'Division 1'!G8</f>
        <v>5.2M</v>
      </c>
      <c r="H8" s="12" t="str">
        <f>+'Division 1'!H8</f>
        <v>10M</v>
      </c>
      <c r="I8" s="12" t="str">
        <f>+'Division 1'!I8</f>
        <v>10K</v>
      </c>
      <c r="J8" s="12" t="str">
        <f>+'Division 1'!J8</f>
        <v>10K</v>
      </c>
      <c r="K8" s="12" t="str">
        <f>+'Division 1'!K8</f>
        <v>10K</v>
      </c>
      <c r="L8" s="12" t="str">
        <f>+'Division 1'!L8</f>
        <v>10K</v>
      </c>
      <c r="M8" s="12" t="str">
        <f>+'Division 1'!M8</f>
        <v>5.2M</v>
      </c>
      <c r="N8" s="12" t="str">
        <f>+'Division 1'!N8</f>
        <v>6.5M</v>
      </c>
      <c r="O8" s="12" t="str">
        <f>+'Division 1'!O8</f>
        <v>5M</v>
      </c>
      <c r="P8" s="12" t="str">
        <f>+'Division 1'!P8</f>
        <v>5M</v>
      </c>
      <c r="Q8" s="12" t="str">
        <f>+'Division 1'!Q8</f>
        <v>10K</v>
      </c>
      <c r="R8" s="12" t="str">
        <f>+'Division 1'!R8</f>
        <v>3K</v>
      </c>
      <c r="S8" s="12" t="str">
        <f>+'Division 1'!S8</f>
        <v>Half</v>
      </c>
      <c r="T8" s="12" t="str">
        <f>+'Division 1'!T8</f>
        <v>8M</v>
      </c>
      <c r="U8" s="12" t="str">
        <f>+'Division 1'!U8</f>
        <v>5M</v>
      </c>
      <c r="V8" s="12" t="str">
        <f>+'Division 1'!V8</f>
        <v>10K</v>
      </c>
      <c r="W8" s="12">
        <f>+'Division 1'!W8</f>
        <v>5.2</v>
      </c>
      <c r="X8" s="12" t="str">
        <f>+'Division 1'!X8</f>
        <v>5.6M</v>
      </c>
      <c r="Y8" s="464"/>
      <c r="Z8" s="472"/>
    </row>
    <row r="9" spans="2:26" s="15" customFormat="1" ht="15.75" customHeight="1" thickBot="1">
      <c r="B9" s="78" t="s">
        <v>20</v>
      </c>
      <c r="C9" s="23" t="s">
        <v>17</v>
      </c>
      <c r="D9" s="22" t="s">
        <v>18</v>
      </c>
      <c r="E9" s="16" t="str">
        <f>+'Division 1'!E9</f>
        <v>Park</v>
      </c>
      <c r="F9" s="16" t="str">
        <f>+'Division 1'!F9</f>
        <v>Road</v>
      </c>
      <c r="G9" s="16" t="str">
        <f>+'Division 1'!G9</f>
        <v>Xcountry</v>
      </c>
      <c r="H9" s="16" t="str">
        <f>+'Division 1'!H9</f>
        <v>Road</v>
      </c>
      <c r="I9" s="16" t="str">
        <f>+'Division 1'!I9</f>
        <v>Road</v>
      </c>
      <c r="J9" s="16" t="str">
        <f>+'Division 1'!J9</f>
        <v>Multi</v>
      </c>
      <c r="K9" s="16" t="str">
        <f>+'Division 1'!K9</f>
        <v>Trail</v>
      </c>
      <c r="L9" s="16" t="str">
        <f>+'Division 1'!L9</f>
        <v>Road</v>
      </c>
      <c r="M9" s="16" t="str">
        <f>+'Division 1'!M9</f>
        <v>Trail</v>
      </c>
      <c r="N9" s="16" t="str">
        <f>+'Division 1'!N9</f>
        <v>Trail</v>
      </c>
      <c r="O9" s="16" t="str">
        <f>+'Division 1'!O9</f>
        <v>Multi</v>
      </c>
      <c r="P9" s="16" t="str">
        <f>+'Division 1'!P9</f>
        <v>Fell</v>
      </c>
      <c r="Q9" s="16" t="str">
        <f>+'Division 1'!Q9</f>
        <v>Trail</v>
      </c>
      <c r="R9" s="16" t="str">
        <f>+'Division 1'!R9</f>
        <v>Track</v>
      </c>
      <c r="S9" s="16" t="str">
        <f>+'Division 1'!S9</f>
        <v>Fell/Road</v>
      </c>
      <c r="T9" s="16" t="str">
        <f>+'Division 1'!T9</f>
        <v>Fell</v>
      </c>
      <c r="U9" s="16" t="str">
        <f>+'Division 1'!U9</f>
        <v>Trail</v>
      </c>
      <c r="V9" s="16" t="str">
        <f>+'Division 1'!V9</f>
        <v>Road</v>
      </c>
      <c r="W9" s="16" t="str">
        <f>+'Division 1'!W9</f>
        <v>Xcountry</v>
      </c>
      <c r="X9" s="16" t="str">
        <f>+'Division 1'!X9</f>
        <v>Road</v>
      </c>
      <c r="Y9" s="455"/>
      <c r="Z9" s="473"/>
    </row>
    <row r="10" spans="2:26" ht="15">
      <c r="B10" s="111">
        <v>1</v>
      </c>
      <c r="C10" s="108" t="s">
        <v>243</v>
      </c>
      <c r="D10" s="108" t="s">
        <v>275</v>
      </c>
      <c r="E10" s="415">
        <v>30</v>
      </c>
      <c r="F10" s="194"/>
      <c r="G10" s="109"/>
      <c r="H10" s="109"/>
      <c r="I10" s="401">
        <v>27</v>
      </c>
      <c r="J10" s="401">
        <v>30</v>
      </c>
      <c r="K10" s="109">
        <v>30</v>
      </c>
      <c r="L10" s="109"/>
      <c r="M10" s="109">
        <v>30</v>
      </c>
      <c r="N10" s="109">
        <v>30</v>
      </c>
      <c r="O10" s="109">
        <v>30</v>
      </c>
      <c r="P10" s="109">
        <v>30</v>
      </c>
      <c r="Q10" s="109">
        <v>30</v>
      </c>
      <c r="R10" s="401">
        <v>29</v>
      </c>
      <c r="S10" s="109"/>
      <c r="T10" s="109">
        <v>30</v>
      </c>
      <c r="U10" s="109"/>
      <c r="V10" s="109">
        <v>30</v>
      </c>
      <c r="W10" s="109">
        <v>30</v>
      </c>
      <c r="X10" s="109"/>
      <c r="Y10" s="108">
        <f>COUNT(E10:X10)</f>
        <v>13</v>
      </c>
      <c r="Z10" s="110">
        <f aca="true" t="shared" si="0" ref="Z10:Z34"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111">
        <v>2</v>
      </c>
      <c r="C11" s="108" t="s">
        <v>109</v>
      </c>
      <c r="D11" s="108" t="s">
        <v>110</v>
      </c>
      <c r="E11" s="415">
        <v>13</v>
      </c>
      <c r="F11" s="194">
        <v>30</v>
      </c>
      <c r="G11" s="109"/>
      <c r="H11" s="109">
        <v>30</v>
      </c>
      <c r="I11" s="109">
        <v>30</v>
      </c>
      <c r="J11" s="109"/>
      <c r="K11" s="109"/>
      <c r="L11" s="109">
        <v>30</v>
      </c>
      <c r="M11" s="401">
        <v>28</v>
      </c>
      <c r="N11" s="401">
        <v>28</v>
      </c>
      <c r="O11" s="401">
        <v>29</v>
      </c>
      <c r="P11" s="401">
        <v>27</v>
      </c>
      <c r="Q11" s="109">
        <v>29</v>
      </c>
      <c r="R11" s="109">
        <v>30</v>
      </c>
      <c r="S11" s="109">
        <v>30</v>
      </c>
      <c r="T11" s="109">
        <v>29</v>
      </c>
      <c r="U11" s="109">
        <v>29</v>
      </c>
      <c r="V11" s="401">
        <v>27</v>
      </c>
      <c r="W11" s="401">
        <v>28</v>
      </c>
      <c r="X11" s="109"/>
      <c r="Y11" s="113">
        <f>COUNT(E11:X11)</f>
        <v>16</v>
      </c>
      <c r="Z11" s="110">
        <f t="shared" si="0"/>
        <v>267</v>
      </c>
    </row>
    <row r="12" spans="2:26" ht="15">
      <c r="B12" s="111" t="s">
        <v>668</v>
      </c>
      <c r="C12" s="108" t="s">
        <v>131</v>
      </c>
      <c r="D12" s="108" t="s">
        <v>132</v>
      </c>
      <c r="E12" s="415">
        <v>22</v>
      </c>
      <c r="F12" s="194"/>
      <c r="G12" s="109"/>
      <c r="H12" s="109">
        <v>29</v>
      </c>
      <c r="I12" s="109">
        <v>29</v>
      </c>
      <c r="J12" s="109"/>
      <c r="K12" s="109"/>
      <c r="L12" s="401">
        <v>23</v>
      </c>
      <c r="M12" s="109">
        <v>27</v>
      </c>
      <c r="N12" s="109">
        <v>29</v>
      </c>
      <c r="O12" s="109">
        <v>27</v>
      </c>
      <c r="P12" s="109">
        <v>29</v>
      </c>
      <c r="Q12" s="109"/>
      <c r="R12" s="109"/>
      <c r="S12" s="109"/>
      <c r="T12" s="109">
        <v>25</v>
      </c>
      <c r="U12" s="109">
        <v>30</v>
      </c>
      <c r="V12" s="109">
        <v>29</v>
      </c>
      <c r="W12" s="109"/>
      <c r="X12" s="109"/>
      <c r="Y12" s="108">
        <f>COUNT(E12:X12)</f>
        <v>11</v>
      </c>
      <c r="Z12" s="110">
        <f>IF(Y12&lt;9,SUM(E12:X12),SUM(LARGE(E12:X12,1),LARGE(E12:X12,2),LARGE(E12:X12,3),LARGE(E12:X12,4),LARGE(E12:X12,5),LARGE(E12:X12,6),LARGE(E12:X12,7),LARGE(E12:X12,8),LARGE(E12:X12,9)))</f>
        <v>254</v>
      </c>
    </row>
    <row r="13" spans="2:26" ht="15">
      <c r="B13" s="111" t="s">
        <v>668</v>
      </c>
      <c r="C13" s="108" t="s">
        <v>219</v>
      </c>
      <c r="D13" s="108" t="s">
        <v>241</v>
      </c>
      <c r="E13" s="194">
        <v>29</v>
      </c>
      <c r="F13" s="401">
        <v>24</v>
      </c>
      <c r="G13" s="401">
        <v>23</v>
      </c>
      <c r="H13" s="401">
        <v>22</v>
      </c>
      <c r="I13" s="401">
        <v>22</v>
      </c>
      <c r="J13" s="109">
        <v>27</v>
      </c>
      <c r="K13" s="109">
        <v>29</v>
      </c>
      <c r="L13" s="401">
        <v>26</v>
      </c>
      <c r="M13" s="109"/>
      <c r="N13" s="109"/>
      <c r="O13" s="109"/>
      <c r="P13" s="109"/>
      <c r="Q13" s="109">
        <v>27</v>
      </c>
      <c r="R13" s="401">
        <v>25</v>
      </c>
      <c r="S13" s="109">
        <v>28</v>
      </c>
      <c r="T13" s="109">
        <v>27</v>
      </c>
      <c r="U13" s="109">
        <v>28</v>
      </c>
      <c r="V13" s="401">
        <v>20</v>
      </c>
      <c r="W13" s="109">
        <v>29</v>
      </c>
      <c r="X13" s="109">
        <v>30</v>
      </c>
      <c r="Y13" s="113">
        <f>COUNT(E13:X13)</f>
        <v>16</v>
      </c>
      <c r="Z13" s="110">
        <f>IF(Y13&lt;9,SUM(E13:X13),SUM(LARGE(E13:X13,1),LARGE(E13:X13,2),LARGE(E13:X13,3),LARGE(E13:X13,4),LARGE(E13:X13,5),LARGE(E13:X13,6),LARGE(E13:X13,7),LARGE(E13:X13,8),LARGE(E13:X13,9)))</f>
        <v>254</v>
      </c>
    </row>
    <row r="14" spans="2:26" ht="15">
      <c r="B14" s="111" t="s">
        <v>674</v>
      </c>
      <c r="C14" s="112" t="s">
        <v>76</v>
      </c>
      <c r="D14" s="112" t="s">
        <v>88</v>
      </c>
      <c r="E14" s="415">
        <v>16</v>
      </c>
      <c r="F14" s="194"/>
      <c r="G14" s="109"/>
      <c r="H14" s="109"/>
      <c r="I14" s="109"/>
      <c r="J14" s="109"/>
      <c r="K14" s="109"/>
      <c r="L14" s="109"/>
      <c r="M14" s="109">
        <v>29</v>
      </c>
      <c r="N14" s="109">
        <v>27</v>
      </c>
      <c r="O14" s="109">
        <v>28</v>
      </c>
      <c r="P14" s="109">
        <v>28</v>
      </c>
      <c r="Q14" s="109">
        <v>28</v>
      </c>
      <c r="R14" s="109">
        <v>28</v>
      </c>
      <c r="S14" s="109">
        <v>29</v>
      </c>
      <c r="T14" s="109">
        <v>28</v>
      </c>
      <c r="U14" s="109">
        <v>26</v>
      </c>
      <c r="V14" s="401">
        <v>24</v>
      </c>
      <c r="W14" s="401">
        <v>25</v>
      </c>
      <c r="X14" s="109"/>
      <c r="Y14" s="113">
        <f>COUNT(E14:X14)</f>
        <v>12</v>
      </c>
      <c r="Z14" s="110">
        <f>IF(Y14&lt;9,SUM(E14:X14),SUM(LARGE(E14:X14,1),LARGE(E14:X14,2),LARGE(E14:X14,3),LARGE(E14:X14,4),LARGE(E14:X14,5),LARGE(E14:X14,6),LARGE(E14:X14,7),LARGE(E14:X14,8),LARGE(E14:X14,9)))</f>
        <v>251</v>
      </c>
    </row>
    <row r="15" spans="2:26" ht="15">
      <c r="B15" s="111" t="s">
        <v>674</v>
      </c>
      <c r="C15" s="108" t="s">
        <v>115</v>
      </c>
      <c r="D15" s="108" t="s">
        <v>116</v>
      </c>
      <c r="E15" s="194">
        <v>28</v>
      </c>
      <c r="F15" s="401">
        <v>21</v>
      </c>
      <c r="G15" s="109">
        <v>28</v>
      </c>
      <c r="H15" s="401">
        <v>24</v>
      </c>
      <c r="I15" s="401">
        <v>23</v>
      </c>
      <c r="J15" s="109">
        <v>29</v>
      </c>
      <c r="K15" s="401">
        <v>26</v>
      </c>
      <c r="L15" s="109">
        <v>29</v>
      </c>
      <c r="M15" s="401">
        <v>26</v>
      </c>
      <c r="N15" s="401">
        <v>26</v>
      </c>
      <c r="O15" s="401">
        <v>19</v>
      </c>
      <c r="P15" s="109"/>
      <c r="Q15" s="401">
        <v>22</v>
      </c>
      <c r="R15" s="109">
        <v>27</v>
      </c>
      <c r="S15" s="401">
        <v>25</v>
      </c>
      <c r="T15" s="401">
        <v>24</v>
      </c>
      <c r="U15" s="109">
        <v>27</v>
      </c>
      <c r="V15" s="109">
        <v>28</v>
      </c>
      <c r="W15" s="109">
        <v>26</v>
      </c>
      <c r="X15" s="109">
        <v>29</v>
      </c>
      <c r="Y15" s="113">
        <f aca="true" t="shared" si="1" ref="Y15:Y34">COUNT(E15:X15)</f>
        <v>19</v>
      </c>
      <c r="Z15" s="110">
        <f t="shared" si="0"/>
        <v>251</v>
      </c>
    </row>
    <row r="16" spans="2:26" ht="15">
      <c r="B16" s="111">
        <v>7</v>
      </c>
      <c r="C16" s="108" t="s">
        <v>121</v>
      </c>
      <c r="D16" s="108" t="s">
        <v>130</v>
      </c>
      <c r="E16" s="194">
        <v>25</v>
      </c>
      <c r="F16" s="194">
        <v>25</v>
      </c>
      <c r="G16" s="109">
        <v>26</v>
      </c>
      <c r="H16" s="109"/>
      <c r="I16" s="109">
        <v>28</v>
      </c>
      <c r="J16" s="109">
        <v>28</v>
      </c>
      <c r="K16" s="109">
        <v>27</v>
      </c>
      <c r="L16" s="109">
        <v>27</v>
      </c>
      <c r="M16" s="401">
        <v>24</v>
      </c>
      <c r="N16" s="401">
        <v>22</v>
      </c>
      <c r="O16" s="109"/>
      <c r="P16" s="109"/>
      <c r="Q16" s="109">
        <v>25</v>
      </c>
      <c r="R16" s="401">
        <v>24</v>
      </c>
      <c r="S16" s="401">
        <v>24</v>
      </c>
      <c r="T16" s="109"/>
      <c r="U16" s="401">
        <v>22</v>
      </c>
      <c r="V16" s="109">
        <v>26</v>
      </c>
      <c r="W16" s="401">
        <v>24</v>
      </c>
      <c r="X16" s="109"/>
      <c r="Y16" s="108">
        <f t="shared" si="1"/>
        <v>15</v>
      </c>
      <c r="Z16" s="110">
        <f t="shared" si="0"/>
        <v>237</v>
      </c>
    </row>
    <row r="17" spans="2:26" ht="15">
      <c r="B17" s="111">
        <v>8</v>
      </c>
      <c r="C17" s="108" t="s">
        <v>100</v>
      </c>
      <c r="D17" s="108" t="s">
        <v>101</v>
      </c>
      <c r="E17" s="194">
        <v>26</v>
      </c>
      <c r="F17" s="194">
        <v>29</v>
      </c>
      <c r="G17" s="109">
        <v>25</v>
      </c>
      <c r="H17" s="401">
        <v>21</v>
      </c>
      <c r="I17" s="401">
        <v>20</v>
      </c>
      <c r="J17" s="109">
        <v>26</v>
      </c>
      <c r="K17" s="109">
        <v>24</v>
      </c>
      <c r="L17" s="109">
        <v>25</v>
      </c>
      <c r="M17" s="109"/>
      <c r="N17" s="109"/>
      <c r="O17" s="109">
        <v>26</v>
      </c>
      <c r="P17" s="109"/>
      <c r="Q17" s="109">
        <v>26</v>
      </c>
      <c r="R17" s="109"/>
      <c r="S17" s="109"/>
      <c r="T17" s="109"/>
      <c r="U17" s="401">
        <v>23</v>
      </c>
      <c r="V17" s="109">
        <v>25</v>
      </c>
      <c r="W17" s="109"/>
      <c r="X17" s="109"/>
      <c r="Y17" s="113">
        <f>COUNT(E17:X17)</f>
        <v>12</v>
      </c>
      <c r="Z17" s="110">
        <f t="shared" si="0"/>
        <v>232</v>
      </c>
    </row>
    <row r="18" spans="2:26" ht="15">
      <c r="B18" s="111">
        <v>9</v>
      </c>
      <c r="C18" s="108" t="s">
        <v>63</v>
      </c>
      <c r="D18" s="108" t="s">
        <v>91</v>
      </c>
      <c r="E18" s="194">
        <v>27</v>
      </c>
      <c r="F18" s="194">
        <v>22</v>
      </c>
      <c r="G18" s="109">
        <v>27</v>
      </c>
      <c r="H18" s="109">
        <v>26</v>
      </c>
      <c r="I18" s="109"/>
      <c r="J18" s="109"/>
      <c r="K18" s="109"/>
      <c r="L18" s="109"/>
      <c r="M18" s="109"/>
      <c r="N18" s="109"/>
      <c r="O18" s="109">
        <v>25</v>
      </c>
      <c r="P18" s="109"/>
      <c r="Q18" s="109"/>
      <c r="R18" s="109">
        <v>26</v>
      </c>
      <c r="S18" s="109">
        <v>27</v>
      </c>
      <c r="T18" s="109"/>
      <c r="U18" s="109">
        <v>24</v>
      </c>
      <c r="V18" s="109"/>
      <c r="W18" s="109">
        <v>23</v>
      </c>
      <c r="X18" s="109"/>
      <c r="Y18" s="113">
        <f>COUNT(E18:X18)</f>
        <v>9</v>
      </c>
      <c r="Z18" s="110">
        <f>IF(Y18&lt;9,SUM(E18:X18),SUM(LARGE(E18:X18,1),LARGE(E18:X18,2),LARGE(E18:X18,3),LARGE(E18:X18,4),LARGE(E18:X18,5),LARGE(E18:X18,6),LARGE(E18:X18,7),LARGE(E18:X18,8),LARGE(E18:X18,9)))</f>
        <v>227</v>
      </c>
    </row>
    <row r="19" spans="2:26" ht="15">
      <c r="B19" s="111">
        <v>10</v>
      </c>
      <c r="C19" s="108" t="s">
        <v>129</v>
      </c>
      <c r="D19" s="108" t="s">
        <v>310</v>
      </c>
      <c r="E19" s="415">
        <v>21</v>
      </c>
      <c r="F19" s="194">
        <v>23</v>
      </c>
      <c r="G19" s="109">
        <v>29</v>
      </c>
      <c r="H19" s="109">
        <v>25</v>
      </c>
      <c r="I19" s="109">
        <v>24</v>
      </c>
      <c r="J19" s="109"/>
      <c r="K19" s="109">
        <v>28</v>
      </c>
      <c r="L19" s="109"/>
      <c r="M19" s="109">
        <v>25</v>
      </c>
      <c r="N19" s="109">
        <v>25</v>
      </c>
      <c r="O19" s="109"/>
      <c r="P19" s="109"/>
      <c r="Q19" s="109"/>
      <c r="R19" s="109">
        <v>22</v>
      </c>
      <c r="S19" s="109"/>
      <c r="T19" s="109"/>
      <c r="U19" s="109">
        <v>21</v>
      </c>
      <c r="V19" s="109"/>
      <c r="W19" s="109"/>
      <c r="X19" s="109"/>
      <c r="Y19" s="113">
        <f t="shared" si="1"/>
        <v>10</v>
      </c>
      <c r="Z19" s="110">
        <f t="shared" si="0"/>
        <v>222</v>
      </c>
    </row>
    <row r="20" spans="2:26" ht="15">
      <c r="B20" s="111">
        <v>11</v>
      </c>
      <c r="C20" s="108" t="s">
        <v>117</v>
      </c>
      <c r="D20" s="108" t="s">
        <v>118</v>
      </c>
      <c r="E20" s="415">
        <v>14</v>
      </c>
      <c r="F20" s="401">
        <v>20</v>
      </c>
      <c r="G20" s="109">
        <v>24</v>
      </c>
      <c r="H20" s="109">
        <v>23</v>
      </c>
      <c r="I20" s="109"/>
      <c r="J20" s="109">
        <v>23</v>
      </c>
      <c r="K20" s="109"/>
      <c r="L20" s="109">
        <v>24</v>
      </c>
      <c r="M20" s="109"/>
      <c r="N20" s="401">
        <v>20</v>
      </c>
      <c r="O20" s="401">
        <v>18</v>
      </c>
      <c r="P20" s="109">
        <v>26</v>
      </c>
      <c r="Q20" s="109">
        <v>23</v>
      </c>
      <c r="R20" s="109"/>
      <c r="S20" s="109">
        <v>26</v>
      </c>
      <c r="T20" s="109">
        <v>23</v>
      </c>
      <c r="U20" s="109"/>
      <c r="V20" s="401">
        <v>21</v>
      </c>
      <c r="W20" s="401">
        <v>21</v>
      </c>
      <c r="X20" s="109">
        <v>26</v>
      </c>
      <c r="Y20" s="113">
        <f>COUNT(E20:X20)</f>
        <v>15</v>
      </c>
      <c r="Z20" s="110">
        <f>IF(Y20&lt;9,SUM(E20:X20),SUM(LARGE(E20:X20,1),LARGE(E20:X20,2),LARGE(E20:X20,3),LARGE(E20:X20,4),LARGE(E20:X20,5),LARGE(E20:X20,6),LARGE(E20:X20,7),LARGE(E20:X20,8),LARGE(E20:X20,9)))</f>
        <v>218</v>
      </c>
    </row>
    <row r="21" spans="2:26" ht="15">
      <c r="B21" s="107">
        <v>12</v>
      </c>
      <c r="C21" s="108" t="s">
        <v>94</v>
      </c>
      <c r="D21" s="108" t="s">
        <v>95</v>
      </c>
      <c r="E21" s="194"/>
      <c r="F21" s="194">
        <v>27</v>
      </c>
      <c r="G21" s="109">
        <v>21</v>
      </c>
      <c r="H21" s="109"/>
      <c r="I21" s="109">
        <v>25</v>
      </c>
      <c r="J21" s="109"/>
      <c r="K21" s="109"/>
      <c r="L21" s="109"/>
      <c r="M21" s="109">
        <v>23</v>
      </c>
      <c r="N21" s="109">
        <v>24</v>
      </c>
      <c r="O21" s="109"/>
      <c r="P21" s="109"/>
      <c r="Q21" s="109"/>
      <c r="R21" s="109"/>
      <c r="S21" s="109"/>
      <c r="T21" s="109">
        <v>26</v>
      </c>
      <c r="U21" s="109">
        <v>20</v>
      </c>
      <c r="V21" s="109"/>
      <c r="W21" s="109">
        <v>22</v>
      </c>
      <c r="X21" s="109">
        <v>28</v>
      </c>
      <c r="Y21" s="113">
        <f>COUNT(E21:X21)</f>
        <v>9</v>
      </c>
      <c r="Z21" s="110">
        <f>IF(Y21&lt;9,SUM(E21:X21),SUM(LARGE(E21:X21,1),LARGE(E21:X21,2),LARGE(E21:X21,3),LARGE(E21:X21,4),LARGE(E21:X21,5),LARGE(E21:X21,6),LARGE(E21:X21,7),LARGE(E21:X21,8),LARGE(E21:X21,9)))</f>
        <v>216</v>
      </c>
    </row>
    <row r="22" spans="2:26" ht="15">
      <c r="B22" s="111">
        <v>13</v>
      </c>
      <c r="C22" s="108" t="s">
        <v>235</v>
      </c>
      <c r="D22" s="108" t="s">
        <v>236</v>
      </c>
      <c r="E22" s="194">
        <v>17</v>
      </c>
      <c r="F22" s="194">
        <v>26</v>
      </c>
      <c r="G22" s="109"/>
      <c r="H22" s="109"/>
      <c r="I22" s="109">
        <v>26</v>
      </c>
      <c r="J22" s="109"/>
      <c r="K22" s="109">
        <v>25</v>
      </c>
      <c r="L22" s="109">
        <v>28</v>
      </c>
      <c r="M22" s="109"/>
      <c r="N22" s="109">
        <v>23</v>
      </c>
      <c r="O22" s="109">
        <v>22</v>
      </c>
      <c r="P22" s="109"/>
      <c r="Q22" s="109">
        <v>24</v>
      </c>
      <c r="R22" s="109">
        <v>23</v>
      </c>
      <c r="S22" s="109"/>
      <c r="T22" s="109"/>
      <c r="U22" s="109"/>
      <c r="V22" s="109"/>
      <c r="W22" s="109"/>
      <c r="X22" s="109"/>
      <c r="Y22" s="108">
        <f>COUNT(E22:X22)</f>
        <v>9</v>
      </c>
      <c r="Z22" s="110">
        <f t="shared" si="0"/>
        <v>214</v>
      </c>
    </row>
    <row r="23" spans="2:26" ht="15">
      <c r="B23" s="111">
        <v>14</v>
      </c>
      <c r="C23" s="108" t="s">
        <v>105</v>
      </c>
      <c r="D23" s="108" t="s">
        <v>127</v>
      </c>
      <c r="E23" s="415">
        <v>19</v>
      </c>
      <c r="F23" s="194">
        <v>19</v>
      </c>
      <c r="G23" s="109"/>
      <c r="H23" s="109"/>
      <c r="I23" s="109"/>
      <c r="J23" s="109">
        <v>24</v>
      </c>
      <c r="K23" s="109"/>
      <c r="L23" s="109">
        <v>21</v>
      </c>
      <c r="M23" s="109"/>
      <c r="N23" s="109">
        <v>21</v>
      </c>
      <c r="O23" s="109">
        <v>20</v>
      </c>
      <c r="P23" s="109"/>
      <c r="Q23" s="109"/>
      <c r="R23" s="109"/>
      <c r="S23" s="109"/>
      <c r="T23" s="109">
        <v>22</v>
      </c>
      <c r="U23" s="109"/>
      <c r="V23" s="109">
        <v>22</v>
      </c>
      <c r="W23" s="109">
        <v>20</v>
      </c>
      <c r="X23" s="109">
        <v>27</v>
      </c>
      <c r="Y23" s="113">
        <f>COUNT(E23:X23)</f>
        <v>10</v>
      </c>
      <c r="Z23" s="110">
        <f>IF(Y23&lt;9,SUM(E23:X23),SUM(LARGE(E23:X23,1),LARGE(E23:X23,2),LARGE(E23:X23,3),LARGE(E23:X23,4),LARGE(E23:X23,5),LARGE(E23:X23,6),LARGE(E23:X23,7),LARGE(E23:X23,8),LARGE(E23:X23,9)))</f>
        <v>196</v>
      </c>
    </row>
    <row r="24" spans="2:26" ht="15">
      <c r="B24" s="111">
        <v>15</v>
      </c>
      <c r="C24" s="112" t="s">
        <v>517</v>
      </c>
      <c r="D24" s="112" t="s">
        <v>516</v>
      </c>
      <c r="E24" s="194">
        <v>23</v>
      </c>
      <c r="F24" s="194"/>
      <c r="G24" s="114"/>
      <c r="H24" s="114"/>
      <c r="I24" s="114"/>
      <c r="J24" s="114"/>
      <c r="K24" s="114"/>
      <c r="L24" s="114"/>
      <c r="M24" s="114"/>
      <c r="N24" s="114"/>
      <c r="O24" s="114">
        <v>23</v>
      </c>
      <c r="P24" s="114"/>
      <c r="Q24" s="114"/>
      <c r="R24" s="114"/>
      <c r="S24" s="114"/>
      <c r="T24" s="114"/>
      <c r="U24" s="114">
        <v>25</v>
      </c>
      <c r="V24" s="114">
        <v>23</v>
      </c>
      <c r="W24" s="114">
        <v>27</v>
      </c>
      <c r="X24" s="115"/>
      <c r="Y24" s="113">
        <f>COUNT(E24:X24)</f>
        <v>5</v>
      </c>
      <c r="Z24" s="110">
        <f>IF(Y24&lt;9,SUM(E24:X24),SUM(LARGE(E24:X24,1),LARGE(E24:X24,2),LARGE(E24:X24,3),LARGE(E24:X24,4),LARGE(E24:X24,5),LARGE(E24:X24,6),LARGE(E24:X24,7),LARGE(E24:X24,8),LARGE(E24:X24,9)))</f>
        <v>121</v>
      </c>
    </row>
    <row r="25" spans="2:26" ht="15">
      <c r="B25" s="111">
        <v>16</v>
      </c>
      <c r="C25" s="108" t="s">
        <v>187</v>
      </c>
      <c r="D25" s="108" t="s">
        <v>248</v>
      </c>
      <c r="E25" s="194">
        <v>24</v>
      </c>
      <c r="F25" s="194"/>
      <c r="G25" s="109"/>
      <c r="H25" s="109"/>
      <c r="I25" s="109"/>
      <c r="J25" s="109"/>
      <c r="K25" s="109"/>
      <c r="L25" s="109">
        <v>22</v>
      </c>
      <c r="M25" s="109"/>
      <c r="N25" s="109"/>
      <c r="O25" s="109">
        <v>21</v>
      </c>
      <c r="P25" s="109"/>
      <c r="Q25" s="109"/>
      <c r="R25" s="109"/>
      <c r="S25" s="109"/>
      <c r="T25" s="109"/>
      <c r="U25" s="109"/>
      <c r="V25" s="109"/>
      <c r="W25" s="109"/>
      <c r="X25" s="109"/>
      <c r="Y25" s="113">
        <f t="shared" si="1"/>
        <v>3</v>
      </c>
      <c r="Z25" s="110">
        <f t="shared" si="0"/>
        <v>67</v>
      </c>
    </row>
    <row r="26" spans="2:26" ht="15">
      <c r="B26" s="111">
        <v>17</v>
      </c>
      <c r="C26" s="108" t="s">
        <v>107</v>
      </c>
      <c r="D26" s="108" t="s">
        <v>108</v>
      </c>
      <c r="E26" s="194"/>
      <c r="F26" s="194"/>
      <c r="G26" s="109"/>
      <c r="H26" s="109"/>
      <c r="I26" s="109">
        <v>21</v>
      </c>
      <c r="J26" s="109">
        <v>25</v>
      </c>
      <c r="K26" s="109"/>
      <c r="L26" s="109">
        <v>20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3">
        <f t="shared" si="1"/>
        <v>3</v>
      </c>
      <c r="Z26" s="110">
        <f t="shared" si="0"/>
        <v>66</v>
      </c>
    </row>
    <row r="27" spans="2:26" ht="15">
      <c r="B27" s="111">
        <v>18</v>
      </c>
      <c r="C27" s="112" t="s">
        <v>149</v>
      </c>
      <c r="D27" s="112" t="s">
        <v>307</v>
      </c>
      <c r="E27" s="194"/>
      <c r="F27" s="194">
        <v>28</v>
      </c>
      <c r="G27" s="109">
        <v>30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3">
        <f t="shared" si="1"/>
        <v>2</v>
      </c>
      <c r="Z27" s="110">
        <f t="shared" si="0"/>
        <v>58</v>
      </c>
    </row>
    <row r="28" spans="2:26" ht="15">
      <c r="B28" s="111">
        <v>19</v>
      </c>
      <c r="C28" s="108" t="s">
        <v>96</v>
      </c>
      <c r="D28" s="108" t="s">
        <v>97</v>
      </c>
      <c r="E28" s="194">
        <v>20</v>
      </c>
      <c r="F28" s="194"/>
      <c r="G28" s="109"/>
      <c r="H28" s="109">
        <v>28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3">
        <f t="shared" si="1"/>
        <v>2</v>
      </c>
      <c r="Z28" s="110">
        <f t="shared" si="0"/>
        <v>48</v>
      </c>
    </row>
    <row r="29" spans="2:26" ht="15">
      <c r="B29" s="111">
        <v>20</v>
      </c>
      <c r="C29" s="108" t="s">
        <v>52</v>
      </c>
      <c r="D29" s="108" t="s">
        <v>97</v>
      </c>
      <c r="E29" s="194">
        <v>18</v>
      </c>
      <c r="F29" s="194"/>
      <c r="G29" s="109"/>
      <c r="H29" s="109">
        <v>27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3">
        <f>COUNT(E29:X29)</f>
        <v>2</v>
      </c>
      <c r="Z29" s="110">
        <f t="shared" si="0"/>
        <v>45</v>
      </c>
    </row>
    <row r="30" spans="2:26" ht="15">
      <c r="B30" s="111">
        <v>21</v>
      </c>
      <c r="C30" s="108" t="s">
        <v>243</v>
      </c>
      <c r="D30" s="108" t="s">
        <v>508</v>
      </c>
      <c r="E30" s="194"/>
      <c r="F30" s="194"/>
      <c r="G30" s="109"/>
      <c r="H30" s="109"/>
      <c r="I30" s="109"/>
      <c r="J30" s="109"/>
      <c r="K30" s="109"/>
      <c r="L30" s="109"/>
      <c r="M30" s="109"/>
      <c r="N30" s="109"/>
      <c r="O30" s="109">
        <v>24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13">
        <f t="shared" si="1"/>
        <v>1</v>
      </c>
      <c r="Z30" s="110">
        <f t="shared" si="0"/>
        <v>24</v>
      </c>
    </row>
    <row r="31" spans="2:26" ht="15">
      <c r="B31" s="111">
        <v>22</v>
      </c>
      <c r="C31" s="112" t="s">
        <v>293</v>
      </c>
      <c r="D31" s="112" t="s">
        <v>270</v>
      </c>
      <c r="E31" s="194"/>
      <c r="F31" s="194"/>
      <c r="G31" s="114">
        <v>22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5"/>
      <c r="Y31" s="113">
        <f t="shared" si="1"/>
        <v>1</v>
      </c>
      <c r="Z31" s="110">
        <f t="shared" si="0"/>
        <v>22</v>
      </c>
    </row>
    <row r="32" spans="2:26" ht="15">
      <c r="B32" s="111">
        <v>23</v>
      </c>
      <c r="C32" s="112" t="s">
        <v>124</v>
      </c>
      <c r="D32" s="112" t="s">
        <v>125</v>
      </c>
      <c r="E32" s="194">
        <v>16</v>
      </c>
      <c r="F32" s="19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3">
        <f t="shared" si="1"/>
        <v>1</v>
      </c>
      <c r="Z32" s="110">
        <f t="shared" si="0"/>
        <v>16</v>
      </c>
    </row>
    <row r="33" spans="2:26" ht="15">
      <c r="B33" s="111" t="s">
        <v>606</v>
      </c>
      <c r="C33" s="108" t="s">
        <v>111</v>
      </c>
      <c r="D33" s="108" t="s">
        <v>112</v>
      </c>
      <c r="E33" s="194"/>
      <c r="F33" s="194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3">
        <f t="shared" si="1"/>
        <v>0</v>
      </c>
      <c r="Z33" s="110">
        <f t="shared" si="0"/>
        <v>0</v>
      </c>
    </row>
    <row r="34" spans="2:26" ht="15.75" thickBot="1">
      <c r="B34" s="116" t="s">
        <v>606</v>
      </c>
      <c r="C34" s="117" t="s">
        <v>237</v>
      </c>
      <c r="D34" s="117" t="s">
        <v>123</v>
      </c>
      <c r="E34" s="118"/>
      <c r="F34" s="118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20"/>
      <c r="Y34" s="121">
        <f t="shared" si="1"/>
        <v>0</v>
      </c>
      <c r="Z34" s="122">
        <f t="shared" si="0"/>
        <v>0</v>
      </c>
    </row>
    <row r="35" ht="15.75" thickTop="1"/>
  </sheetData>
  <sheetProtection/>
  <mergeCells count="4">
    <mergeCell ref="B7:C7"/>
    <mergeCell ref="Z7:Z9"/>
    <mergeCell ref="Y7:Y9"/>
    <mergeCell ref="T2:Y2"/>
  </mergeCells>
  <conditionalFormatting sqref="E35:Y35">
    <cfRule type="cellIs" priority="25" dxfId="8" operator="equal" stopIfTrue="1">
      <formula>25</formula>
    </cfRule>
  </conditionalFormatting>
  <conditionalFormatting sqref="Z35 Y10:Y34">
    <cfRule type="cellIs" priority="24" dxfId="0" operator="greaterThan" stopIfTrue="1">
      <formula>9</formula>
    </cfRule>
  </conditionalFormatting>
  <conditionalFormatting sqref="E10:X34">
    <cfRule type="cellIs" priority="28" dxfId="0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40"/>
  <sheetViews>
    <sheetView showGridLines="0" zoomScalePageLayoutView="0" workbookViewId="0" topLeftCell="A8">
      <selection activeCell="J11" sqref="J1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4.851562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3" width="6.28125" style="0" bestFit="1" customWidth="1"/>
    <col min="14" max="15" width="6.28125" style="0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1" width="7.00390625" style="0" bestFit="1" customWidth="1"/>
    <col min="22" max="22" width="5.7109375" style="0" bestFit="1" customWidth="1"/>
    <col min="23" max="23" width="9.00390625" style="0" bestFit="1" customWidth="1"/>
    <col min="24" max="24" width="6.14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302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203"/>
      <c r="C5" s="204"/>
      <c r="D5" s="204"/>
      <c r="E5" s="1">
        <f>+'Division 1'!E5</f>
        <v>1</v>
      </c>
      <c r="F5" s="1">
        <f>+'Division 1'!F5</f>
        <v>2</v>
      </c>
      <c r="G5" s="1">
        <f>+'Division 1'!G5</f>
        <v>3</v>
      </c>
      <c r="H5" s="1">
        <f>+'Division 1'!H5</f>
        <v>4</v>
      </c>
      <c r="I5" s="1">
        <f>+'Division 1'!I5</f>
        <v>5</v>
      </c>
      <c r="J5" s="1">
        <f>+'Division 1'!J5</f>
        <v>6</v>
      </c>
      <c r="K5" s="1">
        <f>+'Division 1'!K5</f>
        <v>7</v>
      </c>
      <c r="L5" s="1">
        <f>+'Division 1'!L5</f>
        <v>8</v>
      </c>
      <c r="M5" s="1">
        <f>+'Division 1'!M5</f>
        <v>9</v>
      </c>
      <c r="N5" s="1">
        <f>+'Division 1'!N5</f>
        <v>10</v>
      </c>
      <c r="O5" s="1">
        <f>+'Division 1'!O5</f>
        <v>11</v>
      </c>
      <c r="P5" s="1">
        <f>+'Division 1'!P5</f>
        <v>12</v>
      </c>
      <c r="Q5" s="1">
        <f>+'Division 1'!Q5</f>
        <v>13</v>
      </c>
      <c r="R5" s="1">
        <f>+'Division 1'!R5</f>
        <v>14</v>
      </c>
      <c r="S5" s="1">
        <f>+'Division 1'!S5</f>
        <v>15</v>
      </c>
      <c r="T5" s="1">
        <f>+'Division 1'!T5</f>
        <v>16</v>
      </c>
      <c r="U5" s="1">
        <f>+'Division 1'!U5</f>
        <v>17</v>
      </c>
      <c r="V5" s="1">
        <f>+'Division 1'!V5</f>
        <v>18</v>
      </c>
      <c r="W5" s="1">
        <f>+'Division 1'!W5</f>
        <v>19</v>
      </c>
      <c r="X5" s="229">
        <f>+'Division 1'!X5</f>
        <v>20</v>
      </c>
      <c r="Y5" s="228"/>
      <c r="Z5" s="4"/>
    </row>
    <row r="6" spans="2:26" ht="15" customHeight="1" thickBot="1">
      <c r="B6" s="205"/>
      <c r="C6" s="206"/>
      <c r="D6" s="207"/>
      <c r="E6" s="5" t="str">
        <f>+'Division 1'!E6</f>
        <v>Sat</v>
      </c>
      <c r="F6" s="5">
        <f>+'Division 1'!F6</f>
        <v>42015</v>
      </c>
      <c r="G6" s="5">
        <f>+'Division 1'!G6</f>
        <v>42043</v>
      </c>
      <c r="H6" s="5">
        <f>+'Division 1'!H6</f>
        <v>42085</v>
      </c>
      <c r="I6" s="5">
        <f>+'Division 1'!I6</f>
        <v>42113</v>
      </c>
      <c r="J6" s="5">
        <f>+'Division 1'!J6</f>
        <v>42140</v>
      </c>
      <c r="K6" s="5">
        <f>+'Division 1'!K6</f>
        <v>42162</v>
      </c>
      <c r="L6" s="5">
        <f>+'Division 1'!L6</f>
        <v>42186</v>
      </c>
      <c r="M6" s="5">
        <f>+'Division 1'!M6</f>
        <v>42192</v>
      </c>
      <c r="N6" s="5">
        <f>+'Division 1'!N6</f>
        <v>42195</v>
      </c>
      <c r="O6" s="5">
        <f>+'Division 1'!O6</f>
        <v>42214</v>
      </c>
      <c r="P6" s="5">
        <f>+'Division 1'!P6</f>
        <v>42220</v>
      </c>
      <c r="Q6" s="5">
        <f>+'Division 1'!Q6</f>
        <v>42253</v>
      </c>
      <c r="R6" s="5" t="str">
        <f>+'Division 1'!R6</f>
        <v>20-May+23-Sep</v>
      </c>
      <c r="S6" s="5" t="str">
        <f>+'Division 1'!S6</f>
        <v>13 &amp; 27-Sep</v>
      </c>
      <c r="T6" s="5">
        <f>+'Division 1'!T6</f>
        <v>42302</v>
      </c>
      <c r="U6" s="5">
        <f>+'Division 1'!U6</f>
        <v>42316</v>
      </c>
      <c r="V6" s="5" t="str">
        <f>+'Division 1'!V6</f>
        <v>29-Nov</v>
      </c>
      <c r="W6" s="5" t="str">
        <f>+'Division 1'!W6</f>
        <v>13-Dec</v>
      </c>
      <c r="X6" s="5">
        <f>+'Division 1'!X6</f>
        <v>42365</v>
      </c>
      <c r="Y6" s="9"/>
      <c r="Z6" s="10"/>
    </row>
    <row r="7" spans="2:26" ht="91.5" customHeight="1" thickBot="1">
      <c r="B7" s="474"/>
      <c r="C7" s="475"/>
      <c r="D7" s="208"/>
      <c r="E7" s="236" t="str">
        <f>+'Division 1'!E7</f>
        <v>Hudds/Halifax Park Run</v>
      </c>
      <c r="F7" s="236" t="str">
        <f>+'Division 1'!F7</f>
        <v>Stainland Winter Handicap</v>
      </c>
      <c r="G7" s="236" t="str">
        <f>+'Division 1'!G7</f>
        <v>Xcountry Temple Newsham</v>
      </c>
      <c r="H7" s="236" t="str">
        <f>+'Division 1'!H7</f>
        <v>Thirsk</v>
      </c>
      <c r="I7" s="236" t="str">
        <f>+'Division 1'!I7</f>
        <v>Overgate Hospice</v>
      </c>
      <c r="J7" s="236" t="str">
        <f>+'Division 1'!J7</f>
        <v>Sowerby Scorcher</v>
      </c>
      <c r="K7" s="236" t="str">
        <f>+'Division 1'!K7</f>
        <v>Bolton Brow Burner</v>
      </c>
      <c r="L7" s="236" t="str">
        <f>+'Division 1'!L7</f>
        <v>Helen Windsor</v>
      </c>
      <c r="M7" s="236" t="str">
        <f>+'Division 1'!M7</f>
        <v>Crossgates Vets</v>
      </c>
      <c r="N7" s="236" t="str">
        <f>+'Division 1'!N7</f>
        <v>Woodland Challenge</v>
      </c>
      <c r="O7" s="236" t="str">
        <f>+'Division 1'!O7</f>
        <v>Flat Cap</v>
      </c>
      <c r="P7" s="236" t="str">
        <f>+'Division 1'!P7</f>
        <v>Crow Hill</v>
      </c>
      <c r="Q7" s="236" t="str">
        <f>+'Division 1'!Q7</f>
        <v>Kirkwood Hospice</v>
      </c>
      <c r="R7" s="236" t="str">
        <f>+'Division 1'!R7</f>
        <v>Track</v>
      </c>
      <c r="S7" s="236" t="str">
        <f>+'Division 1'!S7</f>
        <v>Yorkshireman / Macclesfield</v>
      </c>
      <c r="T7" s="236" t="str">
        <f>+'Division 1'!T7</f>
        <v>Bronte Way</v>
      </c>
      <c r="U7" s="236" t="str">
        <f>+'Division 1'!U7</f>
        <v>Spen Vets</v>
      </c>
      <c r="V7" s="236" t="str">
        <f>+'Division 1'!V7</f>
        <v>Barnsley</v>
      </c>
      <c r="W7" s="236" t="str">
        <f>+'Division 1'!W7</f>
        <v>Xcountry Dewsbury</v>
      </c>
      <c r="X7" s="236" t="str">
        <f>+'Division 1'!X7</f>
        <v>Ward Green</v>
      </c>
      <c r="Y7" s="464" t="s">
        <v>2</v>
      </c>
      <c r="Z7" s="472" t="s">
        <v>3</v>
      </c>
    </row>
    <row r="8" spans="2:26" s="15" customFormat="1" ht="15.75" customHeight="1" thickBot="1">
      <c r="B8" s="209"/>
      <c r="C8" s="210"/>
      <c r="D8" s="210"/>
      <c r="E8" s="12" t="str">
        <f>+'Division 1'!E8</f>
        <v>5K</v>
      </c>
      <c r="F8" s="12" t="str">
        <f>+'Division 1'!F8</f>
        <v>6ish</v>
      </c>
      <c r="G8" s="12" t="str">
        <f>+'Division 1'!G8</f>
        <v>5.2M</v>
      </c>
      <c r="H8" s="12" t="str">
        <f>+'Division 1'!H8</f>
        <v>10M</v>
      </c>
      <c r="I8" s="12" t="str">
        <f>+'Division 1'!I8</f>
        <v>10K</v>
      </c>
      <c r="J8" s="12" t="str">
        <f>+'Division 1'!J8</f>
        <v>10K</v>
      </c>
      <c r="K8" s="12" t="str">
        <f>+'Division 1'!K8</f>
        <v>10K</v>
      </c>
      <c r="L8" s="12" t="str">
        <f>+'Division 1'!L8</f>
        <v>10K</v>
      </c>
      <c r="M8" s="12" t="str">
        <f>+'Division 1'!M8</f>
        <v>5.2M</v>
      </c>
      <c r="N8" s="12" t="str">
        <f>+'Division 1'!N8</f>
        <v>6.5M</v>
      </c>
      <c r="O8" s="12" t="str">
        <f>+'Division 1'!O8</f>
        <v>5M</v>
      </c>
      <c r="P8" s="12" t="str">
        <f>+'Division 1'!P8</f>
        <v>5M</v>
      </c>
      <c r="Q8" s="12" t="str">
        <f>+'Division 1'!Q8</f>
        <v>10K</v>
      </c>
      <c r="R8" s="12" t="str">
        <f>+'Division 1'!R8</f>
        <v>3K</v>
      </c>
      <c r="S8" s="12" t="str">
        <f>+'Division 1'!S8</f>
        <v>Half</v>
      </c>
      <c r="T8" s="12" t="str">
        <f>+'Division 1'!T8</f>
        <v>8M</v>
      </c>
      <c r="U8" s="12" t="str">
        <f>+'Division 1'!U8</f>
        <v>5M</v>
      </c>
      <c r="V8" s="12" t="str">
        <f>+'Division 1'!V8</f>
        <v>10K</v>
      </c>
      <c r="W8" s="12">
        <f>+'Division 1'!W8</f>
        <v>5.2</v>
      </c>
      <c r="X8" s="12" t="str">
        <f>+'Division 1'!X8</f>
        <v>5.6M</v>
      </c>
      <c r="Y8" s="464"/>
      <c r="Z8" s="472"/>
    </row>
    <row r="9" spans="2:26" s="15" customFormat="1" ht="15.75" customHeight="1" thickBot="1">
      <c r="B9" s="78" t="s">
        <v>20</v>
      </c>
      <c r="C9" s="23" t="s">
        <v>17</v>
      </c>
      <c r="D9" s="23" t="s">
        <v>18</v>
      </c>
      <c r="E9" s="16" t="str">
        <f>+'Division 1'!E9</f>
        <v>Park</v>
      </c>
      <c r="F9" s="16" t="str">
        <f>+'Division 1'!F9</f>
        <v>Road</v>
      </c>
      <c r="G9" s="16" t="str">
        <f>+'Division 1'!G9</f>
        <v>Xcountry</v>
      </c>
      <c r="H9" s="16" t="str">
        <f>+'Division 1'!H9</f>
        <v>Road</v>
      </c>
      <c r="I9" s="16" t="str">
        <f>+'Division 1'!I9</f>
        <v>Road</v>
      </c>
      <c r="J9" s="16" t="str">
        <f>+'Division 1'!J9</f>
        <v>Multi</v>
      </c>
      <c r="K9" s="16" t="str">
        <f>+'Division 1'!K9</f>
        <v>Trail</v>
      </c>
      <c r="L9" s="16" t="str">
        <f>+'Division 1'!L9</f>
        <v>Road</v>
      </c>
      <c r="M9" s="16" t="str">
        <f>+'Division 1'!M9</f>
        <v>Trail</v>
      </c>
      <c r="N9" s="16" t="str">
        <f>+'Division 1'!N9</f>
        <v>Trail</v>
      </c>
      <c r="O9" s="16" t="str">
        <f>+'Division 1'!O9</f>
        <v>Multi</v>
      </c>
      <c r="P9" s="16" t="str">
        <f>+'Division 1'!P9</f>
        <v>Fell</v>
      </c>
      <c r="Q9" s="16" t="str">
        <f>+'Division 1'!Q9</f>
        <v>Trail</v>
      </c>
      <c r="R9" s="16" t="str">
        <f>+'Division 1'!R9</f>
        <v>Track</v>
      </c>
      <c r="S9" s="16" t="str">
        <f>+'Division 1'!S9</f>
        <v>Fell/Road</v>
      </c>
      <c r="T9" s="16" t="str">
        <f>+'Division 1'!T9</f>
        <v>Fell</v>
      </c>
      <c r="U9" s="16" t="str">
        <f>+'Division 1'!U9</f>
        <v>Trail</v>
      </c>
      <c r="V9" s="16" t="str">
        <f>+'Division 1'!V9</f>
        <v>Road</v>
      </c>
      <c r="W9" s="16" t="str">
        <f>+'Division 1'!W9</f>
        <v>Xcountry</v>
      </c>
      <c r="X9" s="16" t="str">
        <f>+'Division 1'!X9</f>
        <v>Road</v>
      </c>
      <c r="Y9" s="455"/>
      <c r="Z9" s="473"/>
    </row>
    <row r="10" spans="2:26" ht="15">
      <c r="B10" s="216">
        <v>1</v>
      </c>
      <c r="C10" s="212" t="s">
        <v>259</v>
      </c>
      <c r="D10" s="212" t="s">
        <v>256</v>
      </c>
      <c r="E10" s="442"/>
      <c r="F10" s="442"/>
      <c r="G10" s="447"/>
      <c r="H10" s="447">
        <v>30</v>
      </c>
      <c r="I10" s="447">
        <v>30</v>
      </c>
      <c r="J10" s="447">
        <v>30</v>
      </c>
      <c r="K10" s="213"/>
      <c r="L10" s="213">
        <v>30</v>
      </c>
      <c r="M10" s="213">
        <v>30</v>
      </c>
      <c r="N10" s="213">
        <v>30</v>
      </c>
      <c r="O10" s="213">
        <v>30</v>
      </c>
      <c r="P10" s="213">
        <v>30</v>
      </c>
      <c r="Q10" s="213"/>
      <c r="R10" s="213"/>
      <c r="S10" s="213"/>
      <c r="T10" s="213">
        <v>30</v>
      </c>
      <c r="U10" s="402">
        <v>29</v>
      </c>
      <c r="V10" s="213"/>
      <c r="W10" s="213"/>
      <c r="X10" s="213"/>
      <c r="Y10" s="212">
        <f aca="true" t="shared" si="0" ref="Y10:Y40">COUNT(E10:X10)</f>
        <v>10</v>
      </c>
      <c r="Z10" s="215">
        <f aca="true" t="shared" si="1" ref="Z10:Z40"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216">
        <v>2</v>
      </c>
      <c r="C11" s="212" t="s">
        <v>276</v>
      </c>
      <c r="D11" s="218" t="s">
        <v>38</v>
      </c>
      <c r="E11" s="443">
        <v>28</v>
      </c>
      <c r="F11" s="402">
        <v>17</v>
      </c>
      <c r="G11" s="402">
        <v>25</v>
      </c>
      <c r="H11" s="402">
        <v>27</v>
      </c>
      <c r="I11" s="402">
        <v>26</v>
      </c>
      <c r="J11" s="402">
        <v>29</v>
      </c>
      <c r="K11" s="213"/>
      <c r="L11" s="213">
        <v>29</v>
      </c>
      <c r="M11" s="213">
        <v>29</v>
      </c>
      <c r="N11" s="213">
        <v>29</v>
      </c>
      <c r="O11" s="402">
        <v>27</v>
      </c>
      <c r="P11" s="213">
        <v>29</v>
      </c>
      <c r="Q11" s="402">
        <v>27</v>
      </c>
      <c r="R11" s="213">
        <v>29</v>
      </c>
      <c r="S11" s="213"/>
      <c r="T11" s="213">
        <v>29</v>
      </c>
      <c r="U11" s="402">
        <v>28</v>
      </c>
      <c r="V11" s="213">
        <v>29</v>
      </c>
      <c r="W11" s="213">
        <v>29</v>
      </c>
      <c r="X11" s="213">
        <v>30</v>
      </c>
      <c r="Y11" s="212">
        <f t="shared" si="0"/>
        <v>18</v>
      </c>
      <c r="Z11" s="215">
        <f t="shared" si="1"/>
        <v>262</v>
      </c>
    </row>
    <row r="12" spans="2:26" ht="15">
      <c r="B12" s="216">
        <v>3</v>
      </c>
      <c r="C12" s="212" t="s">
        <v>161</v>
      </c>
      <c r="D12" s="212" t="s">
        <v>162</v>
      </c>
      <c r="E12" s="443">
        <v>25</v>
      </c>
      <c r="F12" s="402">
        <v>27</v>
      </c>
      <c r="G12" s="402">
        <v>27</v>
      </c>
      <c r="H12" s="213">
        <v>29</v>
      </c>
      <c r="I12" s="213"/>
      <c r="J12" s="402">
        <v>28</v>
      </c>
      <c r="K12" s="213">
        <v>29</v>
      </c>
      <c r="L12" s="213"/>
      <c r="M12" s="402">
        <v>28</v>
      </c>
      <c r="N12" s="213">
        <v>28</v>
      </c>
      <c r="O12" s="213">
        <v>29</v>
      </c>
      <c r="P12" s="213">
        <v>28</v>
      </c>
      <c r="Q12" s="213"/>
      <c r="R12" s="213">
        <v>30</v>
      </c>
      <c r="S12" s="213">
        <v>29</v>
      </c>
      <c r="T12" s="213">
        <v>28</v>
      </c>
      <c r="U12" s="402">
        <v>26</v>
      </c>
      <c r="V12" s="213">
        <v>28</v>
      </c>
      <c r="W12" s="402">
        <v>25</v>
      </c>
      <c r="X12" s="213"/>
      <c r="Y12" s="212">
        <f t="shared" si="0"/>
        <v>16</v>
      </c>
      <c r="Z12" s="215">
        <f t="shared" si="1"/>
        <v>258</v>
      </c>
    </row>
    <row r="13" spans="2:26" ht="15">
      <c r="B13" s="216">
        <v>4</v>
      </c>
      <c r="C13" s="212" t="s">
        <v>103</v>
      </c>
      <c r="D13" s="212" t="s">
        <v>104</v>
      </c>
      <c r="E13" s="443">
        <v>24</v>
      </c>
      <c r="F13" s="217">
        <v>29</v>
      </c>
      <c r="G13" s="213"/>
      <c r="H13" s="213"/>
      <c r="I13" s="213"/>
      <c r="J13" s="213"/>
      <c r="K13" s="213"/>
      <c r="L13" s="402">
        <v>26</v>
      </c>
      <c r="M13" s="213">
        <v>27</v>
      </c>
      <c r="N13" s="402">
        <v>25</v>
      </c>
      <c r="O13" s="402">
        <v>26</v>
      </c>
      <c r="P13" s="213">
        <v>27</v>
      </c>
      <c r="Q13" s="213">
        <v>28</v>
      </c>
      <c r="R13" s="213">
        <v>28</v>
      </c>
      <c r="S13" s="213">
        <v>30</v>
      </c>
      <c r="T13" s="213">
        <v>27</v>
      </c>
      <c r="U13" s="213"/>
      <c r="V13" s="213">
        <v>27</v>
      </c>
      <c r="W13" s="402">
        <v>24</v>
      </c>
      <c r="X13" s="213">
        <v>29</v>
      </c>
      <c r="Y13" s="212">
        <f>COUNT(E13:X13)</f>
        <v>14</v>
      </c>
      <c r="Z13" s="215">
        <f>IF(Y13&lt;9,SUM(E13:X13),SUM(LARGE(E13:X13,1),LARGE(E13:X13,2),LARGE(E13:X13,3),LARGE(E13:X13,4),LARGE(E13:X13,5),LARGE(E13:X13,6),LARGE(E13:X13,7),LARGE(E13:X13,8),LARGE(E13:X13,9)))</f>
        <v>252</v>
      </c>
    </row>
    <row r="14" spans="2:26" ht="15">
      <c r="B14" s="216">
        <v>5</v>
      </c>
      <c r="C14" s="212" t="s">
        <v>100</v>
      </c>
      <c r="D14" s="212" t="s">
        <v>238</v>
      </c>
      <c r="E14" s="442">
        <v>26</v>
      </c>
      <c r="F14" s="402">
        <v>20</v>
      </c>
      <c r="G14" s="213"/>
      <c r="H14" s="402">
        <v>24</v>
      </c>
      <c r="I14" s="213">
        <v>29</v>
      </c>
      <c r="J14" s="213">
        <v>27</v>
      </c>
      <c r="K14" s="213">
        <v>30</v>
      </c>
      <c r="L14" s="213">
        <v>27</v>
      </c>
      <c r="M14" s="213"/>
      <c r="N14" s="213">
        <v>27</v>
      </c>
      <c r="O14" s="213">
        <v>28</v>
      </c>
      <c r="P14" s="213"/>
      <c r="Q14" s="213">
        <v>30</v>
      </c>
      <c r="R14" s="402">
        <v>22</v>
      </c>
      <c r="S14" s="213"/>
      <c r="T14" s="213"/>
      <c r="U14" s="213"/>
      <c r="V14" s="213">
        <v>25</v>
      </c>
      <c r="W14" s="213"/>
      <c r="X14" s="213"/>
      <c r="Y14" s="212">
        <f t="shared" si="0"/>
        <v>12</v>
      </c>
      <c r="Z14" s="215">
        <f t="shared" si="1"/>
        <v>249</v>
      </c>
    </row>
    <row r="15" spans="2:26" ht="15">
      <c r="B15" s="216">
        <v>6</v>
      </c>
      <c r="C15" s="212" t="s">
        <v>103</v>
      </c>
      <c r="D15" s="212" t="s">
        <v>135</v>
      </c>
      <c r="E15" s="217"/>
      <c r="F15" s="217">
        <v>26</v>
      </c>
      <c r="G15" s="213">
        <v>30</v>
      </c>
      <c r="H15" s="213"/>
      <c r="I15" s="213">
        <v>28</v>
      </c>
      <c r="J15" s="213"/>
      <c r="K15" s="213">
        <v>21</v>
      </c>
      <c r="L15" s="213"/>
      <c r="M15" s="213">
        <v>25</v>
      </c>
      <c r="N15" s="213"/>
      <c r="O15" s="213">
        <v>24</v>
      </c>
      <c r="P15" s="213">
        <v>26</v>
      </c>
      <c r="Q15" s="213">
        <v>22</v>
      </c>
      <c r="R15" s="213">
        <v>24</v>
      </c>
      <c r="S15" s="213"/>
      <c r="T15" s="213"/>
      <c r="U15" s="213"/>
      <c r="V15" s="213"/>
      <c r="W15" s="213"/>
      <c r="X15" s="213"/>
      <c r="Y15" s="212">
        <f t="shared" si="0"/>
        <v>9</v>
      </c>
      <c r="Z15" s="215">
        <f t="shared" si="1"/>
        <v>226</v>
      </c>
    </row>
    <row r="16" spans="2:26" ht="15">
      <c r="B16" s="216">
        <v>7</v>
      </c>
      <c r="C16" s="212" t="s">
        <v>218</v>
      </c>
      <c r="D16" s="212" t="s">
        <v>393</v>
      </c>
      <c r="E16" s="217">
        <v>27</v>
      </c>
      <c r="F16" s="217"/>
      <c r="G16" s="213"/>
      <c r="H16" s="213"/>
      <c r="I16" s="213">
        <v>24</v>
      </c>
      <c r="J16" s="213">
        <v>23</v>
      </c>
      <c r="K16" s="402">
        <v>22</v>
      </c>
      <c r="L16" s="213"/>
      <c r="M16" s="213">
        <v>23</v>
      </c>
      <c r="N16" s="213">
        <v>24</v>
      </c>
      <c r="O16" s="213">
        <v>22</v>
      </c>
      <c r="P16" s="213"/>
      <c r="Q16" s="402">
        <v>19</v>
      </c>
      <c r="R16" s="213">
        <v>25</v>
      </c>
      <c r="S16" s="213"/>
      <c r="T16" s="213"/>
      <c r="U16" s="213">
        <v>27</v>
      </c>
      <c r="V16" s="213"/>
      <c r="W16" s="213">
        <v>30</v>
      </c>
      <c r="X16" s="213"/>
      <c r="Y16" s="214">
        <f t="shared" si="0"/>
        <v>11</v>
      </c>
      <c r="Z16" s="215">
        <f t="shared" si="1"/>
        <v>225</v>
      </c>
    </row>
    <row r="17" spans="2:26" ht="15">
      <c r="B17" s="216">
        <v>8</v>
      </c>
      <c r="C17" s="212" t="s">
        <v>133</v>
      </c>
      <c r="D17" s="212" t="s">
        <v>134</v>
      </c>
      <c r="E17" s="217">
        <v>21</v>
      </c>
      <c r="F17" s="217">
        <v>25</v>
      </c>
      <c r="G17" s="213">
        <v>23</v>
      </c>
      <c r="H17" s="213">
        <v>28</v>
      </c>
      <c r="I17" s="213"/>
      <c r="J17" s="213"/>
      <c r="K17" s="213">
        <v>24</v>
      </c>
      <c r="L17" s="402">
        <v>20</v>
      </c>
      <c r="M17" s="213"/>
      <c r="N17" s="213"/>
      <c r="O17" s="402">
        <v>19</v>
      </c>
      <c r="P17" s="213"/>
      <c r="Q17" s="213">
        <v>23</v>
      </c>
      <c r="R17" s="213">
        <v>23</v>
      </c>
      <c r="S17" s="213"/>
      <c r="T17" s="213"/>
      <c r="U17" s="213"/>
      <c r="V17" s="213"/>
      <c r="W17" s="213">
        <v>26</v>
      </c>
      <c r="X17" s="213">
        <v>28</v>
      </c>
      <c r="Y17" s="214">
        <f t="shared" si="0"/>
        <v>11</v>
      </c>
      <c r="Z17" s="215">
        <f t="shared" si="1"/>
        <v>221</v>
      </c>
    </row>
    <row r="18" spans="2:26" ht="15">
      <c r="B18" s="216">
        <v>9</v>
      </c>
      <c r="C18" s="212" t="s">
        <v>136</v>
      </c>
      <c r="D18" s="212" t="s">
        <v>137</v>
      </c>
      <c r="E18" s="217">
        <v>17</v>
      </c>
      <c r="F18" s="217"/>
      <c r="G18" s="213">
        <v>22</v>
      </c>
      <c r="H18" s="213"/>
      <c r="I18" s="213">
        <v>27</v>
      </c>
      <c r="J18" s="213">
        <v>24</v>
      </c>
      <c r="K18" s="213">
        <v>23</v>
      </c>
      <c r="L18" s="213"/>
      <c r="M18" s="213"/>
      <c r="N18" s="213"/>
      <c r="O18" s="213">
        <v>20</v>
      </c>
      <c r="P18" s="213"/>
      <c r="Q18" s="213">
        <v>25</v>
      </c>
      <c r="R18" s="213"/>
      <c r="S18" s="213">
        <v>27</v>
      </c>
      <c r="T18" s="213">
        <v>25</v>
      </c>
      <c r="U18" s="213"/>
      <c r="V18" s="213"/>
      <c r="W18" s="213"/>
      <c r="X18" s="213"/>
      <c r="Y18" s="212">
        <f t="shared" si="0"/>
        <v>9</v>
      </c>
      <c r="Z18" s="215">
        <f t="shared" si="1"/>
        <v>210</v>
      </c>
    </row>
    <row r="19" spans="2:26" ht="15">
      <c r="B19" s="216">
        <v>10</v>
      </c>
      <c r="C19" s="212" t="s">
        <v>219</v>
      </c>
      <c r="D19" s="212" t="s">
        <v>556</v>
      </c>
      <c r="E19" s="217">
        <v>30</v>
      </c>
      <c r="F19" s="217"/>
      <c r="G19" s="213"/>
      <c r="H19" s="213"/>
      <c r="I19" s="213"/>
      <c r="J19" s="213"/>
      <c r="K19" s="213"/>
      <c r="L19" s="213">
        <v>28</v>
      </c>
      <c r="M19" s="213"/>
      <c r="N19" s="213">
        <v>26</v>
      </c>
      <c r="O19" s="213"/>
      <c r="P19" s="213"/>
      <c r="Q19" s="213">
        <v>29</v>
      </c>
      <c r="R19" s="213"/>
      <c r="S19" s="213"/>
      <c r="T19" s="213"/>
      <c r="U19" s="213">
        <v>30</v>
      </c>
      <c r="V19" s="213">
        <v>30</v>
      </c>
      <c r="W19" s="213">
        <v>28</v>
      </c>
      <c r="X19" s="213"/>
      <c r="Y19" s="214">
        <f t="shared" si="0"/>
        <v>7</v>
      </c>
      <c r="Z19" s="215">
        <f t="shared" si="1"/>
        <v>201</v>
      </c>
    </row>
    <row r="20" spans="2:26" ht="15">
      <c r="B20" s="216">
        <v>11</v>
      </c>
      <c r="C20" s="212" t="s">
        <v>98</v>
      </c>
      <c r="D20" s="212" t="s">
        <v>128</v>
      </c>
      <c r="E20" s="217">
        <v>16</v>
      </c>
      <c r="F20" s="217">
        <v>23</v>
      </c>
      <c r="G20" s="213">
        <v>20</v>
      </c>
      <c r="H20" s="213"/>
      <c r="I20" s="213"/>
      <c r="J20" s="213">
        <v>21</v>
      </c>
      <c r="K20" s="213"/>
      <c r="L20" s="213">
        <v>21</v>
      </c>
      <c r="M20" s="213">
        <v>22</v>
      </c>
      <c r="N20" s="213"/>
      <c r="O20" s="213">
        <v>23</v>
      </c>
      <c r="P20" s="213"/>
      <c r="Q20" s="213">
        <v>21</v>
      </c>
      <c r="R20" s="213"/>
      <c r="S20" s="213"/>
      <c r="T20" s="213"/>
      <c r="U20" s="213">
        <v>22</v>
      </c>
      <c r="V20" s="213"/>
      <c r="W20" s="213"/>
      <c r="X20" s="213"/>
      <c r="Y20" s="212">
        <f t="shared" si="0"/>
        <v>9</v>
      </c>
      <c r="Z20" s="215">
        <f t="shared" si="1"/>
        <v>189</v>
      </c>
    </row>
    <row r="21" spans="2:26" ht="15">
      <c r="B21" s="216">
        <v>12</v>
      </c>
      <c r="C21" s="212" t="s">
        <v>109</v>
      </c>
      <c r="D21" s="212" t="s">
        <v>38</v>
      </c>
      <c r="E21" s="217">
        <v>20</v>
      </c>
      <c r="F21" s="217">
        <v>22</v>
      </c>
      <c r="G21" s="213"/>
      <c r="H21" s="213">
        <v>25</v>
      </c>
      <c r="I21" s="213"/>
      <c r="J21" s="213">
        <v>25</v>
      </c>
      <c r="K21" s="213">
        <v>27</v>
      </c>
      <c r="L21" s="213"/>
      <c r="M21" s="213"/>
      <c r="N21" s="213"/>
      <c r="O21" s="213"/>
      <c r="P21" s="213"/>
      <c r="Q21" s="213"/>
      <c r="R21" s="213"/>
      <c r="S21" s="213">
        <v>28</v>
      </c>
      <c r="T21" s="213"/>
      <c r="U21" s="213">
        <v>25</v>
      </c>
      <c r="V21" s="213"/>
      <c r="W21" s="213"/>
      <c r="X21" s="213"/>
      <c r="Y21" s="212">
        <f t="shared" si="0"/>
        <v>7</v>
      </c>
      <c r="Z21" s="215">
        <f t="shared" si="1"/>
        <v>172</v>
      </c>
    </row>
    <row r="22" spans="2:26" ht="15">
      <c r="B22" s="216">
        <v>13</v>
      </c>
      <c r="C22" s="212" t="s">
        <v>305</v>
      </c>
      <c r="D22" s="212" t="s">
        <v>306</v>
      </c>
      <c r="E22" s="217">
        <v>18</v>
      </c>
      <c r="F22" s="217">
        <v>18</v>
      </c>
      <c r="G22" s="213"/>
      <c r="H22" s="213">
        <v>26</v>
      </c>
      <c r="I22" s="213"/>
      <c r="J22" s="213"/>
      <c r="K22" s="213"/>
      <c r="L22" s="213">
        <v>22</v>
      </c>
      <c r="M22" s="213">
        <v>26</v>
      </c>
      <c r="N22" s="213">
        <v>22</v>
      </c>
      <c r="O22" s="213"/>
      <c r="P22" s="213"/>
      <c r="Q22" s="213">
        <v>20</v>
      </c>
      <c r="R22" s="213"/>
      <c r="S22" s="213"/>
      <c r="T22" s="213"/>
      <c r="U22" s="213"/>
      <c r="V22" s="213"/>
      <c r="W22" s="213"/>
      <c r="X22" s="213"/>
      <c r="Y22" s="214">
        <f t="shared" si="0"/>
        <v>7</v>
      </c>
      <c r="Z22" s="215">
        <f t="shared" si="1"/>
        <v>152</v>
      </c>
    </row>
    <row r="23" spans="2:26" ht="15">
      <c r="B23" s="216">
        <v>14</v>
      </c>
      <c r="C23" s="212" t="s">
        <v>224</v>
      </c>
      <c r="D23" s="212" t="s">
        <v>38</v>
      </c>
      <c r="E23" s="217">
        <v>29</v>
      </c>
      <c r="F23" s="217">
        <v>24</v>
      </c>
      <c r="G23" s="213"/>
      <c r="H23" s="213"/>
      <c r="I23" s="213">
        <v>25</v>
      </c>
      <c r="J23" s="213"/>
      <c r="K23" s="213">
        <v>28</v>
      </c>
      <c r="L23" s="213">
        <v>24</v>
      </c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2">
        <f t="shared" si="0"/>
        <v>5</v>
      </c>
      <c r="Z23" s="215">
        <f t="shared" si="1"/>
        <v>130</v>
      </c>
    </row>
    <row r="24" spans="2:26" ht="15">
      <c r="B24" s="216">
        <v>15</v>
      </c>
      <c r="C24" s="218" t="s">
        <v>141</v>
      </c>
      <c r="D24" s="218" t="s">
        <v>122</v>
      </c>
      <c r="E24" s="217"/>
      <c r="F24" s="217"/>
      <c r="G24" s="213">
        <v>24</v>
      </c>
      <c r="H24" s="213"/>
      <c r="I24" s="213"/>
      <c r="J24" s="213"/>
      <c r="K24" s="213"/>
      <c r="L24" s="213">
        <v>25</v>
      </c>
      <c r="M24" s="213">
        <v>24</v>
      </c>
      <c r="N24" s="213"/>
      <c r="O24" s="213"/>
      <c r="P24" s="213"/>
      <c r="Q24" s="213"/>
      <c r="R24" s="213">
        <v>27</v>
      </c>
      <c r="S24" s="213"/>
      <c r="T24" s="213"/>
      <c r="U24" s="213">
        <v>24</v>
      </c>
      <c r="V24" s="213"/>
      <c r="W24" s="213"/>
      <c r="X24" s="213"/>
      <c r="Y24" s="212">
        <f t="shared" si="0"/>
        <v>5</v>
      </c>
      <c r="Z24" s="215">
        <f t="shared" si="1"/>
        <v>124</v>
      </c>
    </row>
    <row r="25" spans="2:26" ht="15">
      <c r="B25" s="216">
        <v>16</v>
      </c>
      <c r="C25" s="212" t="s">
        <v>431</v>
      </c>
      <c r="D25" s="212" t="s">
        <v>432</v>
      </c>
      <c r="E25" s="217">
        <v>23</v>
      </c>
      <c r="F25" s="217"/>
      <c r="G25" s="213"/>
      <c r="H25" s="213"/>
      <c r="I25" s="213"/>
      <c r="J25" s="213">
        <v>26</v>
      </c>
      <c r="K25" s="213"/>
      <c r="L25" s="213"/>
      <c r="M25" s="213"/>
      <c r="N25" s="213"/>
      <c r="O25" s="213"/>
      <c r="P25" s="213"/>
      <c r="Q25" s="213">
        <v>26</v>
      </c>
      <c r="R25" s="213"/>
      <c r="S25" s="213"/>
      <c r="T25" s="213"/>
      <c r="U25" s="213"/>
      <c r="V25" s="213">
        <v>24</v>
      </c>
      <c r="W25" s="213">
        <v>23</v>
      </c>
      <c r="X25" s="213"/>
      <c r="Y25" s="214">
        <f t="shared" si="0"/>
        <v>5</v>
      </c>
      <c r="Z25" s="215">
        <f t="shared" si="1"/>
        <v>122</v>
      </c>
    </row>
    <row r="26" spans="2:26" ht="15">
      <c r="B26" s="216" t="s">
        <v>667</v>
      </c>
      <c r="C26" s="212" t="s">
        <v>539</v>
      </c>
      <c r="D26" s="212" t="s">
        <v>549</v>
      </c>
      <c r="E26" s="217">
        <v>19</v>
      </c>
      <c r="F26" s="217"/>
      <c r="G26" s="213"/>
      <c r="H26" s="213"/>
      <c r="I26" s="213"/>
      <c r="J26" s="213"/>
      <c r="K26" s="213">
        <v>25</v>
      </c>
      <c r="L26" s="213"/>
      <c r="M26" s="213"/>
      <c r="N26" s="213"/>
      <c r="O26" s="213"/>
      <c r="P26" s="213"/>
      <c r="Q26" s="213">
        <v>24</v>
      </c>
      <c r="R26" s="213">
        <v>21</v>
      </c>
      <c r="S26" s="213"/>
      <c r="T26" s="213"/>
      <c r="U26" s="213"/>
      <c r="V26" s="213">
        <v>26</v>
      </c>
      <c r="W26" s="213"/>
      <c r="X26" s="213"/>
      <c r="Y26" s="214">
        <f t="shared" si="0"/>
        <v>5</v>
      </c>
      <c r="Z26" s="215">
        <f t="shared" si="1"/>
        <v>115</v>
      </c>
    </row>
    <row r="27" spans="2:26" ht="15">
      <c r="B27" s="216">
        <v>18</v>
      </c>
      <c r="C27" s="212" t="s">
        <v>220</v>
      </c>
      <c r="D27" s="212" t="s">
        <v>122</v>
      </c>
      <c r="E27" s="217"/>
      <c r="F27" s="217">
        <v>30</v>
      </c>
      <c r="G27" s="213">
        <v>29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>
        <v>26</v>
      </c>
      <c r="U27" s="213"/>
      <c r="V27" s="213"/>
      <c r="W27" s="213">
        <v>27</v>
      </c>
      <c r="X27" s="213"/>
      <c r="Y27" s="214">
        <f t="shared" si="0"/>
        <v>4</v>
      </c>
      <c r="Z27" s="215">
        <f t="shared" si="1"/>
        <v>112</v>
      </c>
    </row>
    <row r="28" spans="2:26" ht="15">
      <c r="B28" s="216">
        <v>19</v>
      </c>
      <c r="C28" s="212" t="s">
        <v>223</v>
      </c>
      <c r="D28" s="212" t="s">
        <v>114</v>
      </c>
      <c r="E28" s="217">
        <v>12</v>
      </c>
      <c r="F28" s="217"/>
      <c r="G28" s="213"/>
      <c r="H28" s="213"/>
      <c r="I28" s="213"/>
      <c r="J28" s="213"/>
      <c r="K28" s="213"/>
      <c r="L28" s="213"/>
      <c r="M28" s="213"/>
      <c r="N28" s="213">
        <v>23</v>
      </c>
      <c r="O28" s="213">
        <v>21</v>
      </c>
      <c r="P28" s="213"/>
      <c r="Q28" s="213"/>
      <c r="R28" s="213"/>
      <c r="S28" s="213"/>
      <c r="T28" s="213"/>
      <c r="U28" s="213"/>
      <c r="V28" s="213"/>
      <c r="W28" s="213">
        <v>21</v>
      </c>
      <c r="X28" s="213"/>
      <c r="Y28" s="214">
        <f t="shared" si="0"/>
        <v>4</v>
      </c>
      <c r="Z28" s="215">
        <f t="shared" si="1"/>
        <v>77</v>
      </c>
    </row>
    <row r="29" spans="2:26" ht="15">
      <c r="B29" s="216">
        <v>20</v>
      </c>
      <c r="C29" s="212" t="s">
        <v>146</v>
      </c>
      <c r="D29" s="212" t="s">
        <v>147</v>
      </c>
      <c r="E29" s="217">
        <v>7</v>
      </c>
      <c r="F29" s="217"/>
      <c r="G29" s="213">
        <v>21</v>
      </c>
      <c r="H29" s="213"/>
      <c r="I29" s="213"/>
      <c r="J29" s="213"/>
      <c r="K29" s="213"/>
      <c r="L29" s="213"/>
      <c r="M29" s="213"/>
      <c r="N29" s="213">
        <v>21</v>
      </c>
      <c r="O29" s="213"/>
      <c r="P29" s="213"/>
      <c r="Q29" s="213"/>
      <c r="R29" s="213"/>
      <c r="S29" s="213"/>
      <c r="T29" s="213"/>
      <c r="U29" s="213"/>
      <c r="V29" s="213"/>
      <c r="W29" s="213">
        <v>22</v>
      </c>
      <c r="X29" s="213"/>
      <c r="Y29" s="214">
        <f t="shared" si="0"/>
        <v>4</v>
      </c>
      <c r="Z29" s="215">
        <f t="shared" si="1"/>
        <v>71</v>
      </c>
    </row>
    <row r="30" spans="2:26" ht="15">
      <c r="B30" s="216">
        <v>21</v>
      </c>
      <c r="C30" s="212" t="s">
        <v>155</v>
      </c>
      <c r="D30" s="212" t="s">
        <v>156</v>
      </c>
      <c r="E30" s="217"/>
      <c r="F30" s="217"/>
      <c r="G30" s="213"/>
      <c r="H30" s="213"/>
      <c r="I30" s="213"/>
      <c r="J30" s="213">
        <v>22</v>
      </c>
      <c r="K30" s="213"/>
      <c r="L30" s="213"/>
      <c r="M30" s="213"/>
      <c r="N30" s="213"/>
      <c r="O30" s="213">
        <v>25</v>
      </c>
      <c r="P30" s="213"/>
      <c r="Q30" s="213"/>
      <c r="R30" s="213"/>
      <c r="S30" s="213"/>
      <c r="T30" s="213"/>
      <c r="U30" s="213">
        <v>23</v>
      </c>
      <c r="V30" s="213"/>
      <c r="W30" s="213"/>
      <c r="X30" s="213"/>
      <c r="Y30" s="214">
        <f t="shared" si="0"/>
        <v>3</v>
      </c>
      <c r="Z30" s="215">
        <f t="shared" si="1"/>
        <v>70</v>
      </c>
    </row>
    <row r="31" spans="2:26" ht="15">
      <c r="B31" s="211">
        <v>22</v>
      </c>
      <c r="C31" s="212" t="s">
        <v>119</v>
      </c>
      <c r="D31" s="212" t="s">
        <v>120</v>
      </c>
      <c r="E31" s="217">
        <v>9</v>
      </c>
      <c r="F31" s="217">
        <v>28</v>
      </c>
      <c r="G31" s="213">
        <v>28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2">
        <f t="shared" si="0"/>
        <v>3</v>
      </c>
      <c r="Z31" s="215">
        <f t="shared" si="1"/>
        <v>65</v>
      </c>
    </row>
    <row r="32" spans="2:26" ht="15">
      <c r="B32" s="216">
        <v>23</v>
      </c>
      <c r="C32" s="218" t="s">
        <v>33</v>
      </c>
      <c r="D32" s="218" t="s">
        <v>327</v>
      </c>
      <c r="E32" s="217">
        <v>14</v>
      </c>
      <c r="F32" s="217">
        <v>19</v>
      </c>
      <c r="G32" s="213">
        <v>26</v>
      </c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2">
        <f t="shared" si="0"/>
        <v>3</v>
      </c>
      <c r="Z32" s="215">
        <f t="shared" si="1"/>
        <v>59</v>
      </c>
    </row>
    <row r="33" spans="2:26" ht="15">
      <c r="B33" s="216">
        <v>24</v>
      </c>
      <c r="C33" s="212" t="s">
        <v>138</v>
      </c>
      <c r="D33" s="212" t="s">
        <v>84</v>
      </c>
      <c r="E33" s="217">
        <v>11</v>
      </c>
      <c r="F33" s="217">
        <v>16</v>
      </c>
      <c r="G33" s="213"/>
      <c r="H33" s="213"/>
      <c r="I33" s="213"/>
      <c r="J33" s="213"/>
      <c r="K33" s="213"/>
      <c r="L33" s="213">
        <v>23</v>
      </c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2">
        <f t="shared" si="0"/>
        <v>3</v>
      </c>
      <c r="Z33" s="215">
        <f t="shared" si="1"/>
        <v>50</v>
      </c>
    </row>
    <row r="34" spans="2:26" ht="15">
      <c r="B34" s="216">
        <v>25</v>
      </c>
      <c r="C34" s="218" t="s">
        <v>558</v>
      </c>
      <c r="D34" s="218" t="s">
        <v>557</v>
      </c>
      <c r="E34" s="217">
        <v>22</v>
      </c>
      <c r="F34" s="217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>
        <v>26</v>
      </c>
      <c r="S34" s="213"/>
      <c r="T34" s="213"/>
      <c r="U34" s="213"/>
      <c r="V34" s="213"/>
      <c r="W34" s="213"/>
      <c r="X34" s="213"/>
      <c r="Y34" s="212">
        <f t="shared" si="0"/>
        <v>2</v>
      </c>
      <c r="Z34" s="215">
        <f t="shared" si="1"/>
        <v>48</v>
      </c>
    </row>
    <row r="35" spans="2:26" ht="15">
      <c r="B35" s="216">
        <v>26</v>
      </c>
      <c r="C35" s="212" t="s">
        <v>222</v>
      </c>
      <c r="D35" s="212" t="s">
        <v>221</v>
      </c>
      <c r="E35" s="217">
        <v>10</v>
      </c>
      <c r="F35" s="217">
        <v>14</v>
      </c>
      <c r="G35" s="213"/>
      <c r="H35" s="213"/>
      <c r="I35" s="213"/>
      <c r="J35" s="213"/>
      <c r="K35" s="213">
        <v>20</v>
      </c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4">
        <f t="shared" si="0"/>
        <v>3</v>
      </c>
      <c r="Z35" s="215">
        <f t="shared" si="1"/>
        <v>44</v>
      </c>
    </row>
    <row r="36" spans="2:26" ht="15">
      <c r="B36" s="216">
        <v>27</v>
      </c>
      <c r="C36" s="212" t="s">
        <v>493</v>
      </c>
      <c r="D36" s="212" t="s">
        <v>318</v>
      </c>
      <c r="E36" s="217">
        <v>13</v>
      </c>
      <c r="F36" s="217"/>
      <c r="G36" s="213"/>
      <c r="H36" s="213"/>
      <c r="I36" s="213"/>
      <c r="J36" s="213"/>
      <c r="K36" s="213">
        <v>26</v>
      </c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4">
        <f t="shared" si="0"/>
        <v>2</v>
      </c>
      <c r="Z36" s="215">
        <f t="shared" si="1"/>
        <v>39</v>
      </c>
    </row>
    <row r="37" spans="2:26" ht="15">
      <c r="B37" s="216">
        <v>28</v>
      </c>
      <c r="C37" s="218" t="s">
        <v>158</v>
      </c>
      <c r="D37" s="218" t="s">
        <v>291</v>
      </c>
      <c r="E37" s="217">
        <v>16</v>
      </c>
      <c r="F37" s="217">
        <v>15</v>
      </c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2">
        <f t="shared" si="0"/>
        <v>2</v>
      </c>
      <c r="Z37" s="215">
        <f t="shared" si="1"/>
        <v>31</v>
      </c>
    </row>
    <row r="38" spans="2:26" ht="15">
      <c r="B38" s="216">
        <v>29</v>
      </c>
      <c r="C38" s="212" t="s">
        <v>251</v>
      </c>
      <c r="D38" s="212" t="s">
        <v>250</v>
      </c>
      <c r="E38" s="217">
        <v>8</v>
      </c>
      <c r="F38" s="217"/>
      <c r="G38" s="213"/>
      <c r="H38" s="213"/>
      <c r="I38" s="213"/>
      <c r="J38" s="213"/>
      <c r="K38" s="213"/>
      <c r="L38" s="213">
        <v>19</v>
      </c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4">
        <f t="shared" si="0"/>
        <v>2</v>
      </c>
      <c r="Z38" s="215">
        <f t="shared" si="1"/>
        <v>27</v>
      </c>
    </row>
    <row r="39" spans="2:26" ht="15">
      <c r="B39" s="216">
        <v>30</v>
      </c>
      <c r="C39" s="218" t="s">
        <v>102</v>
      </c>
      <c r="D39" s="218" t="s">
        <v>326</v>
      </c>
      <c r="E39" s="217"/>
      <c r="F39" s="217">
        <v>21</v>
      </c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2">
        <f t="shared" si="0"/>
        <v>1</v>
      </c>
      <c r="Z39" s="215">
        <f t="shared" si="1"/>
        <v>21</v>
      </c>
    </row>
    <row r="40" spans="2:26" ht="15.75" thickBot="1">
      <c r="B40" s="219">
        <v>31</v>
      </c>
      <c r="C40" s="220" t="s">
        <v>126</v>
      </c>
      <c r="D40" s="220" t="s">
        <v>79</v>
      </c>
      <c r="E40" s="221"/>
      <c r="F40" s="221">
        <v>13</v>
      </c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3"/>
      <c r="Y40" s="224">
        <f t="shared" si="0"/>
        <v>1</v>
      </c>
      <c r="Z40" s="225">
        <f t="shared" si="1"/>
        <v>13</v>
      </c>
    </row>
    <row r="41" ht="15.75" thickTop="1"/>
  </sheetData>
  <sheetProtection/>
  <mergeCells count="4">
    <mergeCell ref="B7:C7"/>
    <mergeCell ref="Z7:Z9"/>
    <mergeCell ref="Y7:Y9"/>
    <mergeCell ref="T2:Y2"/>
  </mergeCells>
  <conditionalFormatting sqref="E41:Y41">
    <cfRule type="cellIs" priority="56" dxfId="8" operator="equal" stopIfTrue="1">
      <formula>20</formula>
    </cfRule>
  </conditionalFormatting>
  <conditionalFormatting sqref="Z41 Y10:Y40">
    <cfRule type="cellIs" priority="55" dxfId="0" operator="greaterThan" stopIfTrue="1">
      <formula>9</formula>
    </cfRule>
  </conditionalFormatting>
  <conditionalFormatting sqref="E10:X40">
    <cfRule type="cellIs" priority="59" dxfId="0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9.14062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3" width="6.28125" style="0" bestFit="1" customWidth="1"/>
    <col min="14" max="15" width="6.28125" style="0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1" width="7.00390625" style="0" bestFit="1" customWidth="1"/>
    <col min="22" max="22" width="5.7109375" style="0" bestFit="1" customWidth="1"/>
    <col min="23" max="23" width="9.00390625" style="0" bestFit="1" customWidth="1"/>
    <col min="24" max="24" width="7.0039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303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55"/>
      <c r="C5" s="56"/>
      <c r="D5" s="56"/>
      <c r="E5" s="1">
        <f>+'Division 1'!E5</f>
        <v>1</v>
      </c>
      <c r="F5" s="1">
        <f>+'Division 1'!F5</f>
        <v>2</v>
      </c>
      <c r="G5" s="1">
        <f>+'Division 1'!G5</f>
        <v>3</v>
      </c>
      <c r="H5" s="1">
        <f>+'Division 1'!H5</f>
        <v>4</v>
      </c>
      <c r="I5" s="1">
        <f>+'Division 1'!I5</f>
        <v>5</v>
      </c>
      <c r="J5" s="1">
        <f>+'Division 1'!J5</f>
        <v>6</v>
      </c>
      <c r="K5" s="1">
        <f>+'Division 1'!K5</f>
        <v>7</v>
      </c>
      <c r="L5" s="1">
        <f>+'Division 1'!L5</f>
        <v>8</v>
      </c>
      <c r="M5" s="1">
        <f>+'Division 1'!M5</f>
        <v>9</v>
      </c>
      <c r="N5" s="1">
        <f>+'Division 1'!N5</f>
        <v>10</v>
      </c>
      <c r="O5" s="1">
        <f>+'Division 1'!O5</f>
        <v>11</v>
      </c>
      <c r="P5" s="1">
        <f>+'Division 1'!P5</f>
        <v>12</v>
      </c>
      <c r="Q5" s="1">
        <f>+'Division 1'!Q5</f>
        <v>13</v>
      </c>
      <c r="R5" s="1">
        <f>+'Division 1'!R5</f>
        <v>14</v>
      </c>
      <c r="S5" s="1">
        <f>+'Division 1'!S5</f>
        <v>15</v>
      </c>
      <c r="T5" s="1">
        <f>+'Division 1'!T5</f>
        <v>16</v>
      </c>
      <c r="U5" s="1">
        <f>+'Division 1'!U5</f>
        <v>17</v>
      </c>
      <c r="V5" s="1">
        <f>+'Division 1'!V5</f>
        <v>18</v>
      </c>
      <c r="W5" s="1">
        <f>+'Division 1'!W5</f>
        <v>19</v>
      </c>
      <c r="X5" s="229">
        <f>+'Division 1'!X5</f>
        <v>20</v>
      </c>
      <c r="Y5" s="228"/>
      <c r="Z5" s="4"/>
    </row>
    <row r="6" spans="2:26" ht="15" customHeight="1" thickBot="1">
      <c r="B6" s="57"/>
      <c r="C6" s="58"/>
      <c r="D6" s="59"/>
      <c r="E6" s="5" t="str">
        <f>+'Division 1'!E6</f>
        <v>Sat</v>
      </c>
      <c r="F6" s="5">
        <f>+'Division 1'!F6</f>
        <v>42015</v>
      </c>
      <c r="G6" s="5">
        <f>+'Division 1'!G6</f>
        <v>42043</v>
      </c>
      <c r="H6" s="5">
        <f>+'Division 1'!H6</f>
        <v>42085</v>
      </c>
      <c r="I6" s="5">
        <f>+'Division 1'!I6</f>
        <v>42113</v>
      </c>
      <c r="J6" s="5">
        <f>+'Division 1'!J6</f>
        <v>42140</v>
      </c>
      <c r="K6" s="5">
        <f>+'Division 1'!K6</f>
        <v>42162</v>
      </c>
      <c r="L6" s="5">
        <f>+'Division 1'!L6</f>
        <v>42186</v>
      </c>
      <c r="M6" s="5">
        <f>+'Division 1'!M6</f>
        <v>42192</v>
      </c>
      <c r="N6" s="5">
        <f>+'Division 1'!N6</f>
        <v>42195</v>
      </c>
      <c r="O6" s="5">
        <f>+'Division 1'!O6</f>
        <v>42214</v>
      </c>
      <c r="P6" s="5">
        <f>+'Division 1'!P6</f>
        <v>42220</v>
      </c>
      <c r="Q6" s="5">
        <f>+'Division 1'!Q6</f>
        <v>42253</v>
      </c>
      <c r="R6" s="5" t="str">
        <f>+'Division 1'!R6</f>
        <v>20-May+23-Sep</v>
      </c>
      <c r="S6" s="5" t="str">
        <f>+'Division 1'!S6</f>
        <v>13 &amp; 27-Sep</v>
      </c>
      <c r="T6" s="5">
        <f>+'Division 1'!T6</f>
        <v>42302</v>
      </c>
      <c r="U6" s="5">
        <f>+'Division 1'!U6</f>
        <v>42316</v>
      </c>
      <c r="V6" s="5" t="str">
        <f>+'Division 1'!V6</f>
        <v>29-Nov</v>
      </c>
      <c r="W6" s="5" t="str">
        <f>+'Division 1'!W6</f>
        <v>13-Dec</v>
      </c>
      <c r="X6" s="5">
        <f>+'Division 1'!X6</f>
        <v>42365</v>
      </c>
      <c r="Y6" s="237"/>
      <c r="Z6" s="242"/>
    </row>
    <row r="7" spans="2:26" ht="91.5" customHeight="1" thickBot="1">
      <c r="B7" s="476"/>
      <c r="C7" s="477"/>
      <c r="D7" s="60"/>
      <c r="E7" s="236" t="str">
        <f>+'Division 1'!E7</f>
        <v>Hudds/Halifax Park Run</v>
      </c>
      <c r="F7" s="236" t="str">
        <f>+'Division 1'!F7</f>
        <v>Stainland Winter Handicap</v>
      </c>
      <c r="G7" s="236" t="str">
        <f>+'Division 1'!G7</f>
        <v>Xcountry Temple Newsham</v>
      </c>
      <c r="H7" s="236" t="str">
        <f>+'Division 1'!H7</f>
        <v>Thirsk</v>
      </c>
      <c r="I7" s="236" t="str">
        <f>+'Division 1'!I7</f>
        <v>Overgate Hospice</v>
      </c>
      <c r="J7" s="236" t="str">
        <f>+'Division 1'!J7</f>
        <v>Sowerby Scorcher</v>
      </c>
      <c r="K7" s="236" t="str">
        <f>+'Division 1'!K7</f>
        <v>Bolton Brow Burner</v>
      </c>
      <c r="L7" s="236" t="str">
        <f>+'Division 1'!L7</f>
        <v>Helen Windsor</v>
      </c>
      <c r="M7" s="236" t="str">
        <f>+'Division 1'!M7</f>
        <v>Crossgates Vets</v>
      </c>
      <c r="N7" s="236" t="str">
        <f>+'Division 1'!N7</f>
        <v>Woodland Challenge</v>
      </c>
      <c r="O7" s="236" t="str">
        <f>+'Division 1'!O7</f>
        <v>Flat Cap</v>
      </c>
      <c r="P7" s="236" t="str">
        <f>+'Division 1'!P7</f>
        <v>Crow Hill</v>
      </c>
      <c r="Q7" s="236" t="str">
        <f>+'Division 1'!Q7</f>
        <v>Kirkwood Hospice</v>
      </c>
      <c r="R7" s="236" t="str">
        <f>+'Division 1'!R7</f>
        <v>Track</v>
      </c>
      <c r="S7" s="236" t="str">
        <f>+'Division 1'!S7</f>
        <v>Yorkshireman / Macclesfield</v>
      </c>
      <c r="T7" s="236" t="str">
        <f>+'Division 1'!T7</f>
        <v>Bronte Way</v>
      </c>
      <c r="U7" s="236" t="str">
        <f>+'Division 1'!U7</f>
        <v>Spen Vets</v>
      </c>
      <c r="V7" s="236" t="str">
        <f>+'Division 1'!V7</f>
        <v>Barnsley</v>
      </c>
      <c r="W7" s="236" t="str">
        <f>+'Division 1'!W7</f>
        <v>Xcountry Dewsbury</v>
      </c>
      <c r="X7" s="236" t="str">
        <f>+'Division 1'!X7</f>
        <v>Ward Green</v>
      </c>
      <c r="Y7" s="464" t="s">
        <v>2</v>
      </c>
      <c r="Z7" s="472" t="s">
        <v>3</v>
      </c>
    </row>
    <row r="8" spans="2:26" s="15" customFormat="1" ht="15.75" customHeight="1" thickBot="1">
      <c r="B8" s="61"/>
      <c r="C8" s="62"/>
      <c r="D8" s="62"/>
      <c r="E8" s="12" t="str">
        <f>+'Division 1'!E8</f>
        <v>5K</v>
      </c>
      <c r="F8" s="12" t="str">
        <f>+'Division 1'!F8</f>
        <v>6ish</v>
      </c>
      <c r="G8" s="12" t="str">
        <f>+'Division 1'!G8</f>
        <v>5.2M</v>
      </c>
      <c r="H8" s="12" t="str">
        <f>+'Division 1'!H8</f>
        <v>10M</v>
      </c>
      <c r="I8" s="12" t="str">
        <f>+'Division 1'!I8</f>
        <v>10K</v>
      </c>
      <c r="J8" s="12" t="str">
        <f>+'Division 1'!J8</f>
        <v>10K</v>
      </c>
      <c r="K8" s="12" t="str">
        <f>+'Division 1'!K8</f>
        <v>10K</v>
      </c>
      <c r="L8" s="12" t="str">
        <f>+'Division 1'!L8</f>
        <v>10K</v>
      </c>
      <c r="M8" s="12" t="str">
        <f>+'Division 1'!M8</f>
        <v>5.2M</v>
      </c>
      <c r="N8" s="12" t="str">
        <f>+'Division 1'!N8</f>
        <v>6.5M</v>
      </c>
      <c r="O8" s="12" t="str">
        <f>+'Division 1'!O8</f>
        <v>5M</v>
      </c>
      <c r="P8" s="12" t="str">
        <f>+'Division 1'!P8</f>
        <v>5M</v>
      </c>
      <c r="Q8" s="12" t="str">
        <f>+'Division 1'!Q8</f>
        <v>10K</v>
      </c>
      <c r="R8" s="12" t="str">
        <f>+'Division 1'!R8</f>
        <v>3K</v>
      </c>
      <c r="S8" s="12" t="str">
        <f>+'Division 1'!S8</f>
        <v>Half</v>
      </c>
      <c r="T8" s="12" t="str">
        <f>+'Division 1'!T8</f>
        <v>8M</v>
      </c>
      <c r="U8" s="12" t="str">
        <f>+'Division 1'!U8</f>
        <v>5M</v>
      </c>
      <c r="V8" s="12" t="str">
        <f>+'Division 1'!V8</f>
        <v>10K</v>
      </c>
      <c r="W8" s="12">
        <f>+'Division 1'!W8</f>
        <v>5.2</v>
      </c>
      <c r="X8" s="12" t="str">
        <f>+'Division 1'!X8</f>
        <v>5.6M</v>
      </c>
      <c r="Y8" s="464"/>
      <c r="Z8" s="472"/>
    </row>
    <row r="9" spans="2:26" s="15" customFormat="1" ht="15.75" customHeight="1" thickBot="1">
      <c r="B9" s="78" t="s">
        <v>20</v>
      </c>
      <c r="C9" s="23" t="s">
        <v>17</v>
      </c>
      <c r="D9" s="22" t="s">
        <v>18</v>
      </c>
      <c r="E9" s="16" t="str">
        <f>+'Division 1'!E9</f>
        <v>Park</v>
      </c>
      <c r="F9" s="16" t="str">
        <f>+'Division 1'!F9</f>
        <v>Road</v>
      </c>
      <c r="G9" s="16" t="str">
        <f>+'Division 1'!G9</f>
        <v>Xcountry</v>
      </c>
      <c r="H9" s="16" t="str">
        <f>+'Division 1'!H9</f>
        <v>Road</v>
      </c>
      <c r="I9" s="16" t="str">
        <f>+'Division 1'!I9</f>
        <v>Road</v>
      </c>
      <c r="J9" s="16" t="str">
        <f>+'Division 1'!J9</f>
        <v>Multi</v>
      </c>
      <c r="K9" s="16" t="str">
        <f>+'Division 1'!K9</f>
        <v>Trail</v>
      </c>
      <c r="L9" s="16" t="str">
        <f>+'Division 1'!L9</f>
        <v>Road</v>
      </c>
      <c r="M9" s="16" t="str">
        <f>+'Division 1'!M9</f>
        <v>Trail</v>
      </c>
      <c r="N9" s="16" t="str">
        <f>+'Division 1'!N9</f>
        <v>Trail</v>
      </c>
      <c r="O9" s="16" t="str">
        <f>+'Division 1'!O9</f>
        <v>Multi</v>
      </c>
      <c r="P9" s="16" t="str">
        <f>+'Division 1'!P9</f>
        <v>Fell</v>
      </c>
      <c r="Q9" s="16" t="str">
        <f>+'Division 1'!Q9</f>
        <v>Trail</v>
      </c>
      <c r="R9" s="16" t="str">
        <f>+'Division 1'!R9</f>
        <v>Track</v>
      </c>
      <c r="S9" s="16" t="str">
        <f>+'Division 1'!S9</f>
        <v>Fell/Road</v>
      </c>
      <c r="T9" s="16" t="str">
        <f>+'Division 1'!T9</f>
        <v>Fell</v>
      </c>
      <c r="U9" s="16" t="str">
        <f>+'Division 1'!U9</f>
        <v>Trail</v>
      </c>
      <c r="V9" s="16" t="str">
        <f>+'Division 1'!V9</f>
        <v>Road</v>
      </c>
      <c r="W9" s="16" t="str">
        <f>+'Division 1'!W9</f>
        <v>Xcountry</v>
      </c>
      <c r="X9" s="16" t="str">
        <f>+'Division 1'!X9</f>
        <v>Road</v>
      </c>
      <c r="Y9" s="455"/>
      <c r="Z9" s="473"/>
    </row>
    <row r="10" spans="2:26" ht="15">
      <c r="B10" s="63">
        <v>1</v>
      </c>
      <c r="C10" s="64" t="s">
        <v>518</v>
      </c>
      <c r="D10" s="64" t="s">
        <v>178</v>
      </c>
      <c r="E10" s="450">
        <v>30</v>
      </c>
      <c r="F10" s="450"/>
      <c r="G10" s="66"/>
      <c r="H10" s="66"/>
      <c r="I10" s="66"/>
      <c r="J10" s="66"/>
      <c r="K10" s="66"/>
      <c r="L10" s="413">
        <v>23</v>
      </c>
      <c r="M10" s="66"/>
      <c r="N10" s="66"/>
      <c r="O10" s="413">
        <v>29</v>
      </c>
      <c r="P10" s="413">
        <v>29</v>
      </c>
      <c r="Q10" s="66">
        <v>30</v>
      </c>
      <c r="R10" s="66">
        <v>30</v>
      </c>
      <c r="S10" s="66">
        <v>30</v>
      </c>
      <c r="T10" s="66">
        <v>30</v>
      </c>
      <c r="U10" s="66">
        <v>30</v>
      </c>
      <c r="V10" s="66">
        <v>30</v>
      </c>
      <c r="W10" s="66">
        <v>30</v>
      </c>
      <c r="X10" s="66">
        <v>30</v>
      </c>
      <c r="Y10" s="67">
        <f>COUNT(E10:X10)</f>
        <v>12</v>
      </c>
      <c r="Z10" s="68">
        <f>IF(Y10&lt;9,SUM(E10:X10),SUM(LARGE(E10:X10,1),LARGE(E10:X10,2),LARGE(E10:X10,3),LARGE(E10:X10,4),LARGE(E10:X10,5),LARGE(E10:X10,6),LARGE(E10:X10,7),LARGE(E10:X10,8),LARGE(E10:X10,9)))</f>
        <v>270</v>
      </c>
    </row>
    <row r="11" spans="2:26" ht="15">
      <c r="B11" s="63">
        <v>2</v>
      </c>
      <c r="C11" s="64" t="s">
        <v>139</v>
      </c>
      <c r="D11" s="64" t="s">
        <v>140</v>
      </c>
      <c r="E11" s="451">
        <v>25</v>
      </c>
      <c r="F11" s="413">
        <v>17</v>
      </c>
      <c r="G11" s="66"/>
      <c r="H11" s="66"/>
      <c r="I11" s="66">
        <v>29</v>
      </c>
      <c r="J11" s="66">
        <v>30</v>
      </c>
      <c r="K11" s="66"/>
      <c r="L11" s="66">
        <v>30</v>
      </c>
      <c r="M11" s="66">
        <v>30</v>
      </c>
      <c r="N11" s="66">
        <v>29</v>
      </c>
      <c r="O11" s="66">
        <v>30</v>
      </c>
      <c r="P11" s="413">
        <v>28</v>
      </c>
      <c r="Q11" s="66">
        <v>29</v>
      </c>
      <c r="R11" s="66">
        <v>30</v>
      </c>
      <c r="S11" s="413">
        <v>28</v>
      </c>
      <c r="T11" s="66"/>
      <c r="U11" s="413">
        <v>28</v>
      </c>
      <c r="V11" s="66"/>
      <c r="W11" s="66"/>
      <c r="X11" s="66">
        <v>29</v>
      </c>
      <c r="Y11" s="67">
        <f aca="true" t="shared" si="0" ref="Y11:Y18">COUNT(E11:X11)</f>
        <v>14</v>
      </c>
      <c r="Z11" s="68">
        <f aca="true" t="shared" si="1" ref="Z11:Z37">IF(Y11&lt;9,SUM(E11:X11),SUM(LARGE(E11:X11,1),LARGE(E11:X11,2),LARGE(E11:X11,3),LARGE(E11:X11,4),LARGE(E11:X11,5),LARGE(E11:X11,6),LARGE(E11:X11,7),LARGE(E11:X11,8),LARGE(E11:X11,9)))</f>
        <v>266</v>
      </c>
    </row>
    <row r="12" spans="2:26" ht="15">
      <c r="B12" s="63">
        <v>3</v>
      </c>
      <c r="C12" s="64" t="s">
        <v>159</v>
      </c>
      <c r="D12" s="64" t="s">
        <v>160</v>
      </c>
      <c r="E12" s="451">
        <v>10</v>
      </c>
      <c r="F12" s="195">
        <v>30</v>
      </c>
      <c r="G12" s="413">
        <v>28</v>
      </c>
      <c r="H12" s="66"/>
      <c r="I12" s="413">
        <v>25</v>
      </c>
      <c r="J12" s="66"/>
      <c r="K12" s="66">
        <v>30</v>
      </c>
      <c r="L12" s="413">
        <v>28</v>
      </c>
      <c r="M12" s="413">
        <v>29</v>
      </c>
      <c r="N12" s="66">
        <v>30</v>
      </c>
      <c r="O12" s="413">
        <v>28</v>
      </c>
      <c r="P12" s="66">
        <v>30</v>
      </c>
      <c r="Q12" s="413">
        <v>28</v>
      </c>
      <c r="R12" s="413">
        <v>25</v>
      </c>
      <c r="S12" s="66">
        <v>29</v>
      </c>
      <c r="T12" s="66">
        <v>29</v>
      </c>
      <c r="U12" s="66">
        <v>29</v>
      </c>
      <c r="V12" s="66">
        <v>29</v>
      </c>
      <c r="W12" s="66">
        <v>29</v>
      </c>
      <c r="X12" s="413">
        <v>28</v>
      </c>
      <c r="Y12" s="67">
        <f t="shared" si="0"/>
        <v>18</v>
      </c>
      <c r="Z12" s="68">
        <f t="shared" si="1"/>
        <v>265</v>
      </c>
    </row>
    <row r="13" spans="2:26" ht="15">
      <c r="B13" s="63" t="s">
        <v>635</v>
      </c>
      <c r="C13" s="69" t="s">
        <v>149</v>
      </c>
      <c r="D13" s="69" t="s">
        <v>116</v>
      </c>
      <c r="E13" s="413">
        <v>26</v>
      </c>
      <c r="F13" s="413">
        <v>24</v>
      </c>
      <c r="G13" s="66"/>
      <c r="H13" s="66">
        <v>30</v>
      </c>
      <c r="I13" s="66"/>
      <c r="J13" s="66">
        <v>28</v>
      </c>
      <c r="K13" s="66">
        <v>28</v>
      </c>
      <c r="L13" s="66">
        <v>29</v>
      </c>
      <c r="M13" s="66">
        <v>28</v>
      </c>
      <c r="N13" s="66">
        <v>28</v>
      </c>
      <c r="O13" s="66">
        <v>26</v>
      </c>
      <c r="P13" s="66"/>
      <c r="Q13" s="66">
        <v>26</v>
      </c>
      <c r="R13" s="413">
        <v>23</v>
      </c>
      <c r="S13" s="66">
        <v>26</v>
      </c>
      <c r="T13" s="66"/>
      <c r="U13" s="66"/>
      <c r="V13" s="66"/>
      <c r="W13" s="413">
        <v>24</v>
      </c>
      <c r="X13" s="413">
        <v>25</v>
      </c>
      <c r="Y13" s="64">
        <f t="shared" si="0"/>
        <v>14</v>
      </c>
      <c r="Z13" s="68">
        <f t="shared" si="1"/>
        <v>249</v>
      </c>
    </row>
    <row r="14" spans="2:26" ht="15">
      <c r="B14" s="63" t="s">
        <v>635</v>
      </c>
      <c r="C14" s="64" t="s">
        <v>76</v>
      </c>
      <c r="D14" s="64" t="s">
        <v>154</v>
      </c>
      <c r="E14" s="195">
        <v>28</v>
      </c>
      <c r="F14" s="413">
        <v>15</v>
      </c>
      <c r="G14" s="413">
        <v>25</v>
      </c>
      <c r="H14" s="66"/>
      <c r="I14" s="66">
        <v>28</v>
      </c>
      <c r="J14" s="66">
        <v>29</v>
      </c>
      <c r="K14" s="66">
        <v>29</v>
      </c>
      <c r="L14" s="66">
        <v>27</v>
      </c>
      <c r="M14" s="66">
        <v>26</v>
      </c>
      <c r="N14" s="66">
        <v>27</v>
      </c>
      <c r="O14" s="66"/>
      <c r="P14" s="66"/>
      <c r="Q14" s="66"/>
      <c r="R14" s="66">
        <v>27</v>
      </c>
      <c r="S14" s="413">
        <v>24</v>
      </c>
      <c r="T14" s="66"/>
      <c r="U14" s="66">
        <v>26</v>
      </c>
      <c r="V14" s="66">
        <v>28</v>
      </c>
      <c r="W14" s="66"/>
      <c r="X14" s="66"/>
      <c r="Y14" s="67">
        <f t="shared" si="0"/>
        <v>13</v>
      </c>
      <c r="Z14" s="68">
        <f t="shared" si="1"/>
        <v>249</v>
      </c>
    </row>
    <row r="15" spans="2:26" ht="15">
      <c r="B15" s="63">
        <v>6</v>
      </c>
      <c r="C15" s="64" t="s">
        <v>131</v>
      </c>
      <c r="D15" s="64" t="s">
        <v>190</v>
      </c>
      <c r="E15" s="413">
        <v>23</v>
      </c>
      <c r="F15" s="413">
        <v>22</v>
      </c>
      <c r="G15" s="413">
        <v>23</v>
      </c>
      <c r="H15" s="66">
        <v>28</v>
      </c>
      <c r="I15" s="413">
        <v>23</v>
      </c>
      <c r="J15" s="66">
        <v>26</v>
      </c>
      <c r="K15" s="66"/>
      <c r="L15" s="413">
        <v>22</v>
      </c>
      <c r="M15" s="66"/>
      <c r="N15" s="66"/>
      <c r="O15" s="413">
        <v>24</v>
      </c>
      <c r="P15" s="66">
        <v>25</v>
      </c>
      <c r="Q15" s="66">
        <v>25</v>
      </c>
      <c r="R15" s="66">
        <v>24</v>
      </c>
      <c r="S15" s="66">
        <v>27</v>
      </c>
      <c r="T15" s="66">
        <v>27</v>
      </c>
      <c r="U15" s="66">
        <v>25</v>
      </c>
      <c r="V15" s="66"/>
      <c r="W15" s="66">
        <v>27</v>
      </c>
      <c r="X15" s="66">
        <v>26</v>
      </c>
      <c r="Y15" s="67">
        <f>COUNT(E15:X15)</f>
        <v>16</v>
      </c>
      <c r="Z15" s="68">
        <f>IF(Y15&lt;9,SUM(E15:X15),SUM(LARGE(E15:X15,1),LARGE(E15:X15,2),LARGE(E15:X15,3),LARGE(E15:X15,4),LARGE(E15:X15,5),LARGE(E15:X15,6),LARGE(E15:X15,7),LARGE(E15:X15,8),LARGE(E15:X15,9)))</f>
        <v>236</v>
      </c>
    </row>
    <row r="16" spans="2:26" ht="15">
      <c r="B16" s="63">
        <v>7</v>
      </c>
      <c r="C16" s="64" t="s">
        <v>63</v>
      </c>
      <c r="D16" s="64" t="s">
        <v>178</v>
      </c>
      <c r="E16" s="413">
        <v>19</v>
      </c>
      <c r="F16" s="195">
        <v>26</v>
      </c>
      <c r="G16" s="66">
        <v>26</v>
      </c>
      <c r="H16" s="66"/>
      <c r="I16" s="66">
        <v>27</v>
      </c>
      <c r="J16" s="66">
        <v>27</v>
      </c>
      <c r="K16" s="66">
        <v>25</v>
      </c>
      <c r="L16" s="66"/>
      <c r="M16" s="66"/>
      <c r="N16" s="66"/>
      <c r="O16" s="66"/>
      <c r="P16" s="66"/>
      <c r="Q16" s="66">
        <v>27</v>
      </c>
      <c r="R16" s="66">
        <v>26</v>
      </c>
      <c r="S16" s="413">
        <v>23</v>
      </c>
      <c r="T16" s="66"/>
      <c r="U16" s="66"/>
      <c r="V16" s="66"/>
      <c r="W16" s="66">
        <v>26</v>
      </c>
      <c r="X16" s="66">
        <v>24</v>
      </c>
      <c r="Y16" s="64">
        <f>COUNT(E16:X16)</f>
        <v>11</v>
      </c>
      <c r="Z16" s="68">
        <f>IF(Y16&lt;9,SUM(E16:X16),SUM(LARGE(E16:X16,1),LARGE(E16:X16,2),LARGE(E16:X16,3),LARGE(E16:X16,4),LARGE(E16:X16,5),LARGE(E16:X16,6),LARGE(E16:X16,7),LARGE(E16:X16,8),LARGE(E16:X16,9)))</f>
        <v>234</v>
      </c>
    </row>
    <row r="17" spans="2:26" ht="15">
      <c r="B17" s="63">
        <v>8</v>
      </c>
      <c r="C17" s="64" t="s">
        <v>33</v>
      </c>
      <c r="D17" s="64" t="s">
        <v>123</v>
      </c>
      <c r="E17" s="195">
        <v>24</v>
      </c>
      <c r="F17" s="195">
        <v>29</v>
      </c>
      <c r="G17" s="66"/>
      <c r="H17" s="66"/>
      <c r="I17" s="66"/>
      <c r="J17" s="66"/>
      <c r="K17" s="66"/>
      <c r="L17" s="66"/>
      <c r="M17" s="66">
        <v>27</v>
      </c>
      <c r="N17" s="66"/>
      <c r="O17" s="66">
        <v>27</v>
      </c>
      <c r="P17" s="66">
        <v>27</v>
      </c>
      <c r="Q17" s="66"/>
      <c r="R17" s="66">
        <v>28</v>
      </c>
      <c r="S17" s="66"/>
      <c r="T17" s="66"/>
      <c r="U17" s="66">
        <v>27</v>
      </c>
      <c r="V17" s="66"/>
      <c r="W17" s="66">
        <v>28</v>
      </c>
      <c r="X17" s="66"/>
      <c r="Y17" s="67">
        <f>COUNT(E17:X17)</f>
        <v>8</v>
      </c>
      <c r="Z17" s="68">
        <f>IF(Y17&lt;9,SUM(E17:X17),SUM(LARGE(E17:X17,1),LARGE(E17:X17,2),LARGE(E17:X17,3),LARGE(E17:X17,4),LARGE(E17:X17,5),LARGE(E17:X17,6),LARGE(E17:X17,7),LARGE(E17:X17,8),LARGE(E17:X17,9)))</f>
        <v>217</v>
      </c>
    </row>
    <row r="18" spans="2:26" ht="15">
      <c r="B18" s="63">
        <v>9</v>
      </c>
      <c r="C18" s="64" t="s">
        <v>96</v>
      </c>
      <c r="D18" s="64" t="s">
        <v>296</v>
      </c>
      <c r="E18" s="413">
        <v>13</v>
      </c>
      <c r="F18" s="195">
        <v>18</v>
      </c>
      <c r="G18" s="66">
        <v>21</v>
      </c>
      <c r="H18" s="66">
        <v>27</v>
      </c>
      <c r="I18" s="66"/>
      <c r="J18" s="66">
        <v>21</v>
      </c>
      <c r="K18" s="66"/>
      <c r="L18" s="66">
        <v>24</v>
      </c>
      <c r="M18" s="66">
        <v>24</v>
      </c>
      <c r="N18" s="66">
        <v>25</v>
      </c>
      <c r="O18" s="66">
        <v>22</v>
      </c>
      <c r="P18" s="66"/>
      <c r="Q18" s="66"/>
      <c r="R18" s="66"/>
      <c r="S18" s="66"/>
      <c r="T18" s="66"/>
      <c r="U18" s="66"/>
      <c r="V18" s="66">
        <v>27</v>
      </c>
      <c r="W18" s="66"/>
      <c r="X18" s="66"/>
      <c r="Y18" s="64">
        <f t="shared" si="0"/>
        <v>10</v>
      </c>
      <c r="Z18" s="68">
        <f t="shared" si="1"/>
        <v>209</v>
      </c>
    </row>
    <row r="19" spans="2:26" ht="15">
      <c r="B19" s="63">
        <v>10</v>
      </c>
      <c r="C19" s="64" t="s">
        <v>73</v>
      </c>
      <c r="D19" s="64" t="s">
        <v>297</v>
      </c>
      <c r="E19" s="195">
        <v>22</v>
      </c>
      <c r="F19" s="195">
        <v>16</v>
      </c>
      <c r="G19" s="66">
        <v>19</v>
      </c>
      <c r="H19" s="66">
        <v>25</v>
      </c>
      <c r="I19" s="66"/>
      <c r="J19" s="66">
        <v>23</v>
      </c>
      <c r="K19" s="66">
        <v>26</v>
      </c>
      <c r="L19" s="66"/>
      <c r="M19" s="66"/>
      <c r="N19" s="66"/>
      <c r="O19" s="66">
        <v>23</v>
      </c>
      <c r="P19" s="66"/>
      <c r="Q19" s="66"/>
      <c r="R19" s="66">
        <v>22</v>
      </c>
      <c r="S19" s="66"/>
      <c r="T19" s="66"/>
      <c r="U19" s="66"/>
      <c r="V19" s="66"/>
      <c r="W19" s="66">
        <v>25</v>
      </c>
      <c r="X19" s="66"/>
      <c r="Y19" s="67">
        <f>COUNT(E19:X19)</f>
        <v>9</v>
      </c>
      <c r="Z19" s="68">
        <f>IF(Y19&lt;9,SUM(E19:X19),SUM(LARGE(E19:X19,1),LARGE(E19:X19,2),LARGE(E19:X19,3),LARGE(E19:X19,4),LARGE(E19:X19,5),LARGE(E19:X19,6),LARGE(E19:X19,7),LARGE(E19:X19,8),LARGE(E19:X19,9)))</f>
        <v>201</v>
      </c>
    </row>
    <row r="20" spans="2:26" ht="15">
      <c r="B20" s="63">
        <v>11</v>
      </c>
      <c r="C20" s="64" t="s">
        <v>197</v>
      </c>
      <c r="D20" s="64" t="s">
        <v>198</v>
      </c>
      <c r="E20" s="195">
        <v>15</v>
      </c>
      <c r="F20" s="195">
        <v>27</v>
      </c>
      <c r="G20" s="66">
        <v>22</v>
      </c>
      <c r="H20" s="66">
        <v>24</v>
      </c>
      <c r="I20" s="66">
        <v>26</v>
      </c>
      <c r="J20" s="66"/>
      <c r="K20" s="66"/>
      <c r="L20" s="66">
        <v>26</v>
      </c>
      <c r="M20" s="66">
        <v>25</v>
      </c>
      <c r="N20" s="66"/>
      <c r="O20" s="66">
        <v>25</v>
      </c>
      <c r="P20" s="66"/>
      <c r="Q20" s="66"/>
      <c r="R20" s="66"/>
      <c r="S20" s="66"/>
      <c r="T20" s="66"/>
      <c r="U20" s="65"/>
      <c r="V20" s="65"/>
      <c r="W20" s="66"/>
      <c r="X20" s="66"/>
      <c r="Y20" s="67">
        <f>COUNT(E20:X20)</f>
        <v>8</v>
      </c>
      <c r="Z20" s="68">
        <f t="shared" si="1"/>
        <v>190</v>
      </c>
    </row>
    <row r="21" spans="2:26" ht="15">
      <c r="B21" s="63">
        <v>12</v>
      </c>
      <c r="C21" s="64" t="s">
        <v>103</v>
      </c>
      <c r="D21" s="64" t="s">
        <v>151</v>
      </c>
      <c r="E21" s="195">
        <v>21</v>
      </c>
      <c r="F21" s="195">
        <v>23</v>
      </c>
      <c r="G21" s="66">
        <v>30</v>
      </c>
      <c r="H21" s="66"/>
      <c r="I21" s="66"/>
      <c r="J21" s="66">
        <v>24</v>
      </c>
      <c r="K21" s="66">
        <v>27</v>
      </c>
      <c r="L21" s="66"/>
      <c r="M21" s="66"/>
      <c r="N21" s="66">
        <v>26</v>
      </c>
      <c r="O21" s="66"/>
      <c r="P21" s="66"/>
      <c r="Q21" s="66"/>
      <c r="R21" s="66"/>
      <c r="S21" s="66"/>
      <c r="T21" s="66">
        <v>28</v>
      </c>
      <c r="U21" s="66"/>
      <c r="V21" s="66"/>
      <c r="W21" s="66"/>
      <c r="X21" s="66"/>
      <c r="Y21" s="67">
        <f>COUNT(E21:X21)</f>
        <v>7</v>
      </c>
      <c r="Z21" s="68">
        <f>IF(Y21&lt;9,SUM(E21:X21),SUM(LARGE(E21:X21,1),LARGE(E21:X21,2),LARGE(E21:X21,3),LARGE(E21:X21,4),LARGE(E21:X21,5),LARGE(E21:X21,6),LARGE(E21:X21,7),LARGE(E21:X21,8),LARGE(E21:X21,9)))</f>
        <v>179</v>
      </c>
    </row>
    <row r="22" spans="2:26" ht="15">
      <c r="B22" s="63">
        <v>13</v>
      </c>
      <c r="C22" s="64" t="s">
        <v>176</v>
      </c>
      <c r="D22" s="64" t="s">
        <v>177</v>
      </c>
      <c r="E22" s="195">
        <v>17</v>
      </c>
      <c r="F22" s="195">
        <v>19</v>
      </c>
      <c r="G22" s="66">
        <v>20</v>
      </c>
      <c r="H22" s="66">
        <v>26</v>
      </c>
      <c r="I22" s="66">
        <v>24</v>
      </c>
      <c r="J22" s="66">
        <v>22</v>
      </c>
      <c r="K22" s="66"/>
      <c r="L22" s="66"/>
      <c r="M22" s="66"/>
      <c r="N22" s="66"/>
      <c r="O22" s="66">
        <v>21</v>
      </c>
      <c r="P22" s="66"/>
      <c r="Q22" s="66"/>
      <c r="R22" s="66"/>
      <c r="S22" s="66">
        <v>25</v>
      </c>
      <c r="T22" s="66"/>
      <c r="U22" s="66"/>
      <c r="V22" s="66"/>
      <c r="W22" s="66"/>
      <c r="X22" s="66"/>
      <c r="Y22" s="67">
        <f>COUNT(E22:X22)</f>
        <v>8</v>
      </c>
      <c r="Z22" s="68">
        <f>IF(Y22&lt;9,SUM(E22:X22),SUM(LARGE(E22:X22,1),LARGE(E22:X22,2),LARGE(E22:X22,3),LARGE(E22:X22,4),LARGE(E22:X22,5),LARGE(E22:X22,6),LARGE(E22:X22,7),LARGE(E22:X22,8),LARGE(E22:X22,9)))</f>
        <v>174</v>
      </c>
    </row>
    <row r="23" spans="2:26" ht="15">
      <c r="B23" s="63">
        <v>14</v>
      </c>
      <c r="C23" s="64" t="s">
        <v>166</v>
      </c>
      <c r="D23" s="64" t="s">
        <v>167</v>
      </c>
      <c r="E23" s="195">
        <v>20</v>
      </c>
      <c r="F23" s="195">
        <v>25</v>
      </c>
      <c r="G23" s="66">
        <v>27</v>
      </c>
      <c r="H23" s="66">
        <v>29</v>
      </c>
      <c r="I23" s="66">
        <v>30</v>
      </c>
      <c r="J23" s="66">
        <v>25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>
        <f aca="true" t="shared" si="2" ref="Y23:Y37">COUNT(E23:X23)</f>
        <v>6</v>
      </c>
      <c r="Z23" s="68">
        <f t="shared" si="1"/>
        <v>156</v>
      </c>
    </row>
    <row r="24" spans="2:26" ht="15">
      <c r="B24" s="63">
        <v>15</v>
      </c>
      <c r="C24" s="69" t="s">
        <v>168</v>
      </c>
      <c r="D24" s="69" t="s">
        <v>169</v>
      </c>
      <c r="E24" s="195"/>
      <c r="F24" s="195">
        <v>21</v>
      </c>
      <c r="G24" s="66">
        <v>24</v>
      </c>
      <c r="H24" s="66">
        <v>23</v>
      </c>
      <c r="I24" s="66"/>
      <c r="J24" s="66">
        <v>20</v>
      </c>
      <c r="K24" s="66"/>
      <c r="L24" s="66">
        <v>25</v>
      </c>
      <c r="M24" s="66"/>
      <c r="N24" s="66"/>
      <c r="O24" s="66"/>
      <c r="P24" s="66">
        <v>26</v>
      </c>
      <c r="Q24" s="66"/>
      <c r="R24" s="66"/>
      <c r="S24" s="66"/>
      <c r="T24" s="66"/>
      <c r="U24" s="66"/>
      <c r="V24" s="66"/>
      <c r="W24" s="66"/>
      <c r="X24" s="66"/>
      <c r="Y24" s="64">
        <f t="shared" si="2"/>
        <v>6</v>
      </c>
      <c r="Z24" s="68">
        <f t="shared" si="1"/>
        <v>139</v>
      </c>
    </row>
    <row r="25" spans="2:26" ht="15">
      <c r="B25" s="63">
        <v>16</v>
      </c>
      <c r="C25" s="64" t="s">
        <v>141</v>
      </c>
      <c r="D25" s="64" t="s">
        <v>178</v>
      </c>
      <c r="E25" s="195">
        <v>29</v>
      </c>
      <c r="F25" s="19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>
        <v>26</v>
      </c>
      <c r="U25" s="66"/>
      <c r="V25" s="66"/>
      <c r="W25" s="66"/>
      <c r="X25" s="66">
        <v>27</v>
      </c>
      <c r="Y25" s="67">
        <f>COUNT(E25:X25)</f>
        <v>3</v>
      </c>
      <c r="Z25" s="68">
        <f>IF(Y25&lt;9,SUM(E25:X25),SUM(LARGE(E25:X25,1),LARGE(E25:X25,2),LARGE(E25:X25,3),LARGE(E25:X25,4),LARGE(E25:X25,5),LARGE(E25:X25,6),LARGE(E25:X25,7),LARGE(E25:X25,8),LARGE(E25:X25,9)))</f>
        <v>82</v>
      </c>
    </row>
    <row r="26" spans="2:26" ht="15">
      <c r="B26" s="63">
        <v>17</v>
      </c>
      <c r="C26" s="64" t="s">
        <v>144</v>
      </c>
      <c r="D26" s="64" t="s">
        <v>145</v>
      </c>
      <c r="E26" s="195">
        <v>15</v>
      </c>
      <c r="F26" s="195"/>
      <c r="G26" s="66"/>
      <c r="H26" s="66"/>
      <c r="I26" s="66">
        <v>20</v>
      </c>
      <c r="J26" s="66">
        <v>19</v>
      </c>
      <c r="K26" s="66"/>
      <c r="L26" s="66"/>
      <c r="M26" s="66"/>
      <c r="N26" s="66"/>
      <c r="O26" s="66"/>
      <c r="P26" s="66"/>
      <c r="Q26" s="66">
        <v>24</v>
      </c>
      <c r="R26" s="66"/>
      <c r="S26" s="66"/>
      <c r="T26" s="66"/>
      <c r="U26" s="66"/>
      <c r="V26" s="66"/>
      <c r="W26" s="66"/>
      <c r="X26" s="66"/>
      <c r="Y26" s="67">
        <f>COUNT(E26:X26)</f>
        <v>4</v>
      </c>
      <c r="Z26" s="68">
        <f t="shared" si="1"/>
        <v>78</v>
      </c>
    </row>
    <row r="27" spans="2:26" ht="15">
      <c r="B27" s="63">
        <v>18</v>
      </c>
      <c r="C27" s="64" t="s">
        <v>183</v>
      </c>
      <c r="D27" s="64" t="s">
        <v>184</v>
      </c>
      <c r="E27" s="195">
        <v>15</v>
      </c>
      <c r="F27" s="195"/>
      <c r="G27" s="66"/>
      <c r="H27" s="66"/>
      <c r="I27" s="66">
        <v>22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>
        <v>23</v>
      </c>
      <c r="Y27" s="67">
        <f>COUNT(E27:X27)</f>
        <v>3</v>
      </c>
      <c r="Z27" s="68">
        <f>IF(Y27&lt;9,SUM(E27:X27),SUM(LARGE(E27:X27,1),LARGE(E27:X27,2),LARGE(E27:X27,3),LARGE(E27:X27,4),LARGE(E27:X27,5),LARGE(E27:X27,6),LARGE(E27:X27,7),LARGE(E27:X27,8),LARGE(E27:X27,9)))</f>
        <v>60</v>
      </c>
    </row>
    <row r="28" spans="2:26" ht="15">
      <c r="B28" s="63">
        <v>19</v>
      </c>
      <c r="C28" s="64" t="s">
        <v>305</v>
      </c>
      <c r="D28" s="64" t="s">
        <v>307</v>
      </c>
      <c r="E28" s="195"/>
      <c r="F28" s="195">
        <v>28</v>
      </c>
      <c r="G28" s="66">
        <v>29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7">
        <f t="shared" si="2"/>
        <v>2</v>
      </c>
      <c r="Z28" s="68">
        <f t="shared" si="1"/>
        <v>57</v>
      </c>
    </row>
    <row r="29" spans="2:26" ht="15">
      <c r="B29" s="63">
        <v>20</v>
      </c>
      <c r="C29" s="64" t="s">
        <v>142</v>
      </c>
      <c r="D29" s="64" t="s">
        <v>143</v>
      </c>
      <c r="E29" s="195">
        <v>27</v>
      </c>
      <c r="F29" s="195"/>
      <c r="G29" s="66"/>
      <c r="H29" s="66"/>
      <c r="I29" s="66"/>
      <c r="J29" s="66"/>
      <c r="K29" s="66"/>
      <c r="L29" s="66"/>
      <c r="M29" s="66"/>
      <c r="N29" s="66">
        <v>24</v>
      </c>
      <c r="O29" s="66"/>
      <c r="P29" s="66"/>
      <c r="Q29" s="66"/>
      <c r="R29" s="66"/>
      <c r="S29" s="66"/>
      <c r="T29" s="66"/>
      <c r="U29" s="66"/>
      <c r="V29" s="66"/>
      <c r="W29" s="66"/>
      <c r="X29" s="70"/>
      <c r="Y29" s="64">
        <f>COUNT(E29:X29)</f>
        <v>2</v>
      </c>
      <c r="Z29" s="68">
        <f t="shared" si="1"/>
        <v>51</v>
      </c>
    </row>
    <row r="30" spans="2:26" ht="15">
      <c r="B30" s="63">
        <v>21</v>
      </c>
      <c r="C30" s="64" t="s">
        <v>102</v>
      </c>
      <c r="D30" s="64" t="s">
        <v>157</v>
      </c>
      <c r="E30" s="195">
        <v>16</v>
      </c>
      <c r="F30" s="19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>
        <v>22</v>
      </c>
      <c r="Y30" s="67">
        <f>COUNT(E30:X30)</f>
        <v>2</v>
      </c>
      <c r="Z30" s="68">
        <f>IF(Y30&lt;9,SUM(E30:X30),SUM(LARGE(E30:X30,1),LARGE(E30:X30,2),LARGE(E30:X30,3),LARGE(E30:X30,4),LARGE(E30:X30,5),LARGE(E30:X30,6),LARGE(E30:X30,7),LARGE(E30:X30,8),LARGE(E30:X30,9)))</f>
        <v>38</v>
      </c>
    </row>
    <row r="31" spans="2:26" ht="15">
      <c r="B31" s="63">
        <v>22</v>
      </c>
      <c r="C31" s="64" t="s">
        <v>231</v>
      </c>
      <c r="D31" s="64" t="s">
        <v>295</v>
      </c>
      <c r="E31" s="195">
        <v>11</v>
      </c>
      <c r="F31" s="195"/>
      <c r="G31" s="66"/>
      <c r="H31" s="66"/>
      <c r="I31" s="66">
        <v>21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70"/>
      <c r="Y31" s="64">
        <f t="shared" si="2"/>
        <v>2</v>
      </c>
      <c r="Z31" s="68">
        <f t="shared" si="1"/>
        <v>32</v>
      </c>
    </row>
    <row r="32" spans="2:26" ht="15">
      <c r="B32" s="63">
        <v>23</v>
      </c>
      <c r="C32" s="64" t="s">
        <v>196</v>
      </c>
      <c r="D32" s="64" t="s">
        <v>38</v>
      </c>
      <c r="E32" s="195">
        <v>12</v>
      </c>
      <c r="F32" s="195">
        <v>14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>
        <f>COUNT(E32:X32)</f>
        <v>2</v>
      </c>
      <c r="Z32" s="68">
        <f t="shared" si="1"/>
        <v>26</v>
      </c>
    </row>
    <row r="33" spans="2:26" ht="15">
      <c r="B33" s="63">
        <v>24</v>
      </c>
      <c r="C33" s="64" t="s">
        <v>181</v>
      </c>
      <c r="D33" s="64" t="s">
        <v>182</v>
      </c>
      <c r="E33" s="195"/>
      <c r="F33" s="195">
        <v>20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7">
        <f t="shared" si="2"/>
        <v>1</v>
      </c>
      <c r="Z33" s="68">
        <f t="shared" si="1"/>
        <v>20</v>
      </c>
    </row>
    <row r="34" spans="2:26" ht="15">
      <c r="B34" s="63" t="s">
        <v>572</v>
      </c>
      <c r="C34" s="64" t="s">
        <v>152</v>
      </c>
      <c r="D34" s="64" t="s">
        <v>153</v>
      </c>
      <c r="E34" s="195"/>
      <c r="F34" s="19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7">
        <f t="shared" si="2"/>
        <v>0</v>
      </c>
      <c r="Z34" s="68">
        <f t="shared" si="1"/>
        <v>0</v>
      </c>
    </row>
    <row r="35" spans="2:26" ht="15">
      <c r="B35" s="63" t="s">
        <v>572</v>
      </c>
      <c r="C35" s="64" t="s">
        <v>170</v>
      </c>
      <c r="D35" s="64" t="s">
        <v>171</v>
      </c>
      <c r="E35" s="195"/>
      <c r="F35" s="19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7">
        <f t="shared" si="2"/>
        <v>0</v>
      </c>
      <c r="Z35" s="68">
        <f t="shared" si="1"/>
        <v>0</v>
      </c>
    </row>
    <row r="36" spans="2:26" ht="15">
      <c r="B36" s="63" t="s">
        <v>572</v>
      </c>
      <c r="C36" s="64" t="s">
        <v>164</v>
      </c>
      <c r="D36" s="64" t="s">
        <v>165</v>
      </c>
      <c r="E36" s="195"/>
      <c r="F36" s="19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7">
        <f t="shared" si="2"/>
        <v>0</v>
      </c>
      <c r="Z36" s="68">
        <f t="shared" si="1"/>
        <v>0</v>
      </c>
    </row>
    <row r="37" spans="2:26" ht="15.75" thickBot="1">
      <c r="B37" s="71" t="s">
        <v>572</v>
      </c>
      <c r="C37" s="72" t="s">
        <v>172</v>
      </c>
      <c r="D37" s="72" t="s">
        <v>173</v>
      </c>
      <c r="E37" s="73"/>
      <c r="F37" s="7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  <c r="Y37" s="76">
        <f t="shared" si="2"/>
        <v>0</v>
      </c>
      <c r="Z37" s="77">
        <f t="shared" si="1"/>
        <v>0</v>
      </c>
    </row>
    <row r="38" ht="15.75" thickTop="1"/>
  </sheetData>
  <sheetProtection/>
  <mergeCells count="4">
    <mergeCell ref="B7:C7"/>
    <mergeCell ref="Z7:Z9"/>
    <mergeCell ref="Y7:Y9"/>
    <mergeCell ref="T2:Y2"/>
  </mergeCells>
  <conditionalFormatting sqref="E38:Y39">
    <cfRule type="cellIs" priority="46" dxfId="8" operator="equal" stopIfTrue="1">
      <formula>20</formula>
    </cfRule>
  </conditionalFormatting>
  <conditionalFormatting sqref="Z37:Z39 Y10:Y38">
    <cfRule type="cellIs" priority="45" dxfId="0" operator="greaterThan" stopIfTrue="1">
      <formula>9</formula>
    </cfRule>
  </conditionalFormatting>
  <conditionalFormatting sqref="E10:X37">
    <cfRule type="cellIs" priority="49" dxfId="0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34"/>
  <sheetViews>
    <sheetView showGridLines="0" zoomScalePageLayoutView="0" workbookViewId="0" topLeftCell="B5">
      <selection activeCell="Z13" sqref="Z13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1.42187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3" width="6.28125" style="0" bestFit="1" customWidth="1"/>
    <col min="14" max="15" width="6.28125" style="0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1" width="7.00390625" style="0" bestFit="1" customWidth="1"/>
    <col min="22" max="22" width="5.7109375" style="0" bestFit="1" customWidth="1"/>
    <col min="23" max="23" width="9.00390625" style="0" bestFit="1" customWidth="1"/>
    <col min="24" max="24" width="7.0039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304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31"/>
      <c r="C5" s="32"/>
      <c r="D5" s="32"/>
      <c r="E5" s="1">
        <f>+'Division 1'!E5</f>
        <v>1</v>
      </c>
      <c r="F5" s="1">
        <f>+'Division 1'!F5</f>
        <v>2</v>
      </c>
      <c r="G5" s="1">
        <f>+'Division 1'!G5</f>
        <v>3</v>
      </c>
      <c r="H5" s="1">
        <f>+'Division 1'!H5</f>
        <v>4</v>
      </c>
      <c r="I5" s="1">
        <f>+'Division 1'!I5</f>
        <v>5</v>
      </c>
      <c r="J5" s="1">
        <f>+'Division 1'!J5</f>
        <v>6</v>
      </c>
      <c r="K5" s="1">
        <f>+'Division 1'!K5</f>
        <v>7</v>
      </c>
      <c r="L5" s="1">
        <f>+'Division 1'!L5</f>
        <v>8</v>
      </c>
      <c r="M5" s="1">
        <f>+'Division 1'!M5</f>
        <v>9</v>
      </c>
      <c r="N5" s="1">
        <f>+'Division 1'!N5</f>
        <v>10</v>
      </c>
      <c r="O5" s="1">
        <f>+'Division 1'!O5</f>
        <v>11</v>
      </c>
      <c r="P5" s="1">
        <f>+'Division 1'!P5</f>
        <v>12</v>
      </c>
      <c r="Q5" s="1">
        <f>+'Division 1'!Q5</f>
        <v>13</v>
      </c>
      <c r="R5" s="1">
        <f>+'Division 1'!R5</f>
        <v>14</v>
      </c>
      <c r="S5" s="1">
        <f>+'Division 1'!S5</f>
        <v>15</v>
      </c>
      <c r="T5" s="1">
        <f>+'Division 1'!T5</f>
        <v>16</v>
      </c>
      <c r="U5" s="1">
        <f>+'Division 1'!U5</f>
        <v>17</v>
      </c>
      <c r="V5" s="1">
        <f>+'Division 1'!V5</f>
        <v>18</v>
      </c>
      <c r="W5" s="1">
        <f>+'Division 1'!W5</f>
        <v>19</v>
      </c>
      <c r="X5" s="229">
        <f>+'Division 1'!X5</f>
        <v>20</v>
      </c>
      <c r="Y5" s="243"/>
      <c r="Z5" s="244"/>
    </row>
    <row r="6" spans="2:26" ht="15" customHeight="1" thickBot="1">
      <c r="B6" s="33"/>
      <c r="C6" s="34"/>
      <c r="D6" s="51"/>
      <c r="E6" s="5" t="str">
        <f>+'Division 1'!E6</f>
        <v>Sat</v>
      </c>
      <c r="F6" s="5">
        <f>+'Division 1'!F6</f>
        <v>42015</v>
      </c>
      <c r="G6" s="5">
        <f>+'Division 1'!G6</f>
        <v>42043</v>
      </c>
      <c r="H6" s="5">
        <f>+'Division 1'!H6</f>
        <v>42085</v>
      </c>
      <c r="I6" s="5">
        <f>+'Division 1'!I6</f>
        <v>42113</v>
      </c>
      <c r="J6" s="5">
        <f>+'Division 1'!J6</f>
        <v>42140</v>
      </c>
      <c r="K6" s="5">
        <f>+'Division 1'!K6</f>
        <v>42162</v>
      </c>
      <c r="L6" s="5">
        <f>+'Division 1'!L6</f>
        <v>42186</v>
      </c>
      <c r="M6" s="5">
        <f>+'Division 1'!M6</f>
        <v>42192</v>
      </c>
      <c r="N6" s="5">
        <f>+'Division 1'!N6</f>
        <v>42195</v>
      </c>
      <c r="O6" s="5">
        <f>+'Division 1'!O6</f>
        <v>42214</v>
      </c>
      <c r="P6" s="5">
        <f>+'Division 1'!P6</f>
        <v>42220</v>
      </c>
      <c r="Q6" s="5">
        <f>+'Division 1'!Q6</f>
        <v>42253</v>
      </c>
      <c r="R6" s="5" t="str">
        <f>+'Division 1'!R6</f>
        <v>20-May+23-Sep</v>
      </c>
      <c r="S6" s="5" t="str">
        <f>+'Division 1'!S6</f>
        <v>13 &amp; 27-Sep</v>
      </c>
      <c r="T6" s="5">
        <f>+'Division 1'!T6</f>
        <v>42302</v>
      </c>
      <c r="U6" s="5">
        <f>+'Division 1'!U6</f>
        <v>42316</v>
      </c>
      <c r="V6" s="5" t="str">
        <f>+'Division 1'!V6</f>
        <v>29-Nov</v>
      </c>
      <c r="W6" s="5" t="str">
        <f>+'Division 1'!W6</f>
        <v>13-Dec</v>
      </c>
      <c r="X6" s="5">
        <f>+'Division 1'!X6</f>
        <v>42365</v>
      </c>
      <c r="Y6" s="237"/>
      <c r="Z6" s="242"/>
    </row>
    <row r="7" spans="2:26" ht="91.5" customHeight="1" thickBot="1">
      <c r="B7" s="478"/>
      <c r="C7" s="479"/>
      <c r="D7" s="52"/>
      <c r="E7" s="236" t="str">
        <f>+'Division 1'!E7</f>
        <v>Hudds/Halifax Park Run</v>
      </c>
      <c r="F7" s="236" t="str">
        <f>+'Division 1'!F7</f>
        <v>Stainland Winter Handicap</v>
      </c>
      <c r="G7" s="236" t="str">
        <f>+'Division 1'!G7</f>
        <v>Xcountry Temple Newsham</v>
      </c>
      <c r="H7" s="236" t="str">
        <f>+'Division 1'!H7</f>
        <v>Thirsk</v>
      </c>
      <c r="I7" s="236" t="str">
        <f>+'Division 1'!I7</f>
        <v>Overgate Hospice</v>
      </c>
      <c r="J7" s="236" t="str">
        <f>+'Division 1'!J7</f>
        <v>Sowerby Scorcher</v>
      </c>
      <c r="K7" s="236" t="str">
        <f>+'Division 1'!K7</f>
        <v>Bolton Brow Burner</v>
      </c>
      <c r="L7" s="236" t="str">
        <f>+'Division 1'!L7</f>
        <v>Helen Windsor</v>
      </c>
      <c r="M7" s="236" t="str">
        <f>+'Division 1'!M7</f>
        <v>Crossgates Vets</v>
      </c>
      <c r="N7" s="236" t="str">
        <f>+'Division 1'!N7</f>
        <v>Woodland Challenge</v>
      </c>
      <c r="O7" s="236" t="str">
        <f>+'Division 1'!O7</f>
        <v>Flat Cap</v>
      </c>
      <c r="P7" s="236" t="str">
        <f>+'Division 1'!P7</f>
        <v>Crow Hill</v>
      </c>
      <c r="Q7" s="236" t="str">
        <f>+'Division 1'!Q7</f>
        <v>Kirkwood Hospice</v>
      </c>
      <c r="R7" s="236" t="str">
        <f>+'Division 1'!R7</f>
        <v>Track</v>
      </c>
      <c r="S7" s="236" t="str">
        <f>+'Division 1'!S7</f>
        <v>Yorkshireman / Macclesfield</v>
      </c>
      <c r="T7" s="236" t="str">
        <f>+'Division 1'!T7</f>
        <v>Bronte Way</v>
      </c>
      <c r="U7" s="236" t="str">
        <f>+'Division 1'!U7</f>
        <v>Spen Vets</v>
      </c>
      <c r="V7" s="236" t="str">
        <f>+'Division 1'!V7</f>
        <v>Barnsley</v>
      </c>
      <c r="W7" s="236" t="str">
        <f>+'Division 1'!W7</f>
        <v>Xcountry Dewsbury</v>
      </c>
      <c r="X7" s="236" t="str">
        <f>+'Division 1'!X7</f>
        <v>Ward Green</v>
      </c>
      <c r="Y7" s="464" t="s">
        <v>2</v>
      </c>
      <c r="Z7" s="472" t="s">
        <v>3</v>
      </c>
    </row>
    <row r="8" spans="2:26" s="15" customFormat="1" ht="15.75" customHeight="1" thickBot="1">
      <c r="B8" s="53"/>
      <c r="C8" s="54"/>
      <c r="D8" s="54"/>
      <c r="E8" s="12" t="str">
        <f>+'Division 1'!E8</f>
        <v>5K</v>
      </c>
      <c r="F8" s="12" t="str">
        <f>+'Division 1'!F8</f>
        <v>6ish</v>
      </c>
      <c r="G8" s="12" t="str">
        <f>+'Division 1'!G8</f>
        <v>5.2M</v>
      </c>
      <c r="H8" s="12" t="str">
        <f>+'Division 1'!H8</f>
        <v>10M</v>
      </c>
      <c r="I8" s="12" t="str">
        <f>+'Division 1'!I8</f>
        <v>10K</v>
      </c>
      <c r="J8" s="12" t="str">
        <f>+'Division 1'!J8</f>
        <v>10K</v>
      </c>
      <c r="K8" s="12" t="str">
        <f>+'Division 1'!K8</f>
        <v>10K</v>
      </c>
      <c r="L8" s="12" t="str">
        <f>+'Division 1'!L8</f>
        <v>10K</v>
      </c>
      <c r="M8" s="12" t="str">
        <f>+'Division 1'!M8</f>
        <v>5.2M</v>
      </c>
      <c r="N8" s="12" t="str">
        <f>+'Division 1'!N8</f>
        <v>6.5M</v>
      </c>
      <c r="O8" s="12" t="str">
        <f>+'Division 1'!O8</f>
        <v>5M</v>
      </c>
      <c r="P8" s="12" t="str">
        <f>+'Division 1'!P8</f>
        <v>5M</v>
      </c>
      <c r="Q8" s="12" t="str">
        <f>+'Division 1'!Q8</f>
        <v>10K</v>
      </c>
      <c r="R8" s="12" t="str">
        <f>+'Division 1'!R8</f>
        <v>3K</v>
      </c>
      <c r="S8" s="12" t="str">
        <f>+'Division 1'!S8</f>
        <v>Half</v>
      </c>
      <c r="T8" s="12" t="str">
        <f>+'Division 1'!T8</f>
        <v>8M</v>
      </c>
      <c r="U8" s="12" t="str">
        <f>+'Division 1'!U8</f>
        <v>5M</v>
      </c>
      <c r="V8" s="12" t="str">
        <f>+'Division 1'!V8</f>
        <v>10K</v>
      </c>
      <c r="W8" s="12">
        <f>+'Division 1'!W8</f>
        <v>5.2</v>
      </c>
      <c r="X8" s="12" t="str">
        <f>+'Division 1'!X8</f>
        <v>5.6M</v>
      </c>
      <c r="Y8" s="464"/>
      <c r="Z8" s="472"/>
    </row>
    <row r="9" spans="2:26" s="15" customFormat="1" ht="15.75" customHeight="1" thickBot="1">
      <c r="B9" s="78" t="s">
        <v>20</v>
      </c>
      <c r="C9" s="23" t="s">
        <v>17</v>
      </c>
      <c r="D9" s="22" t="s">
        <v>18</v>
      </c>
      <c r="E9" s="16" t="str">
        <f>+'Division 1'!E9</f>
        <v>Park</v>
      </c>
      <c r="F9" s="16" t="str">
        <f>+'Division 1'!F9</f>
        <v>Road</v>
      </c>
      <c r="G9" s="16" t="str">
        <f>+'Division 1'!G9</f>
        <v>Xcountry</v>
      </c>
      <c r="H9" s="16" t="str">
        <f>+'Division 1'!H9</f>
        <v>Road</v>
      </c>
      <c r="I9" s="16" t="str">
        <f>+'Division 1'!I9</f>
        <v>Road</v>
      </c>
      <c r="J9" s="16" t="str">
        <f>+'Division 1'!J9</f>
        <v>Multi</v>
      </c>
      <c r="K9" s="16" t="str">
        <f>+'Division 1'!K9</f>
        <v>Trail</v>
      </c>
      <c r="L9" s="16" t="str">
        <f>+'Division 1'!L9</f>
        <v>Road</v>
      </c>
      <c r="M9" s="16" t="str">
        <f>+'Division 1'!M9</f>
        <v>Trail</v>
      </c>
      <c r="N9" s="16" t="str">
        <f>+'Division 1'!N9</f>
        <v>Trail</v>
      </c>
      <c r="O9" s="16" t="str">
        <f>+'Division 1'!O9</f>
        <v>Multi</v>
      </c>
      <c r="P9" s="16" t="str">
        <f>+'Division 1'!P9</f>
        <v>Fell</v>
      </c>
      <c r="Q9" s="16" t="str">
        <f>+'Division 1'!Q9</f>
        <v>Trail</v>
      </c>
      <c r="R9" s="16" t="str">
        <f>+'Division 1'!R9</f>
        <v>Track</v>
      </c>
      <c r="S9" s="16" t="str">
        <f>+'Division 1'!S9</f>
        <v>Fell/Road</v>
      </c>
      <c r="T9" s="16" t="str">
        <f>+'Division 1'!T9</f>
        <v>Fell</v>
      </c>
      <c r="U9" s="16" t="str">
        <f>+'Division 1'!U9</f>
        <v>Trail</v>
      </c>
      <c r="V9" s="16" t="str">
        <f>+'Division 1'!V9</f>
        <v>Road</v>
      </c>
      <c r="W9" s="16" t="str">
        <f>+'Division 1'!W9</f>
        <v>Xcountry</v>
      </c>
      <c r="X9" s="16" t="str">
        <f>+'Division 1'!X9</f>
        <v>Road</v>
      </c>
      <c r="Y9" s="455"/>
      <c r="Z9" s="473"/>
    </row>
    <row r="10" spans="2:26" ht="15">
      <c r="B10" s="35">
        <v>1</v>
      </c>
      <c r="C10" s="40" t="s">
        <v>185</v>
      </c>
      <c r="D10" s="40" t="s">
        <v>127</v>
      </c>
      <c r="E10" s="196">
        <v>26</v>
      </c>
      <c r="F10" s="452">
        <v>25</v>
      </c>
      <c r="G10" s="38"/>
      <c r="H10" s="38"/>
      <c r="I10" s="38">
        <v>27</v>
      </c>
      <c r="J10" s="38">
        <v>27</v>
      </c>
      <c r="K10" s="38"/>
      <c r="L10" s="38"/>
      <c r="M10" s="38"/>
      <c r="N10" s="38">
        <v>25</v>
      </c>
      <c r="O10" s="38">
        <v>30</v>
      </c>
      <c r="P10" s="38"/>
      <c r="Q10" s="38"/>
      <c r="R10" s="37">
        <v>30</v>
      </c>
      <c r="S10" s="38"/>
      <c r="T10" s="38">
        <v>30</v>
      </c>
      <c r="U10" s="38"/>
      <c r="V10" s="38">
        <v>30</v>
      </c>
      <c r="W10" s="38">
        <v>29</v>
      </c>
      <c r="X10" s="38"/>
      <c r="Y10" s="40">
        <f>COUNT(E10:X10)</f>
        <v>10</v>
      </c>
      <c r="Z10" s="39">
        <f>IF(Y10&lt;9,SUM(E10:X10),SUM(LARGE(E10:X10,1),LARGE(E10:X10,2),LARGE(E10:X10,3),LARGE(E10:X10,4),LARGE(E10:X10,5),LARGE(E10:X10,6),LARGE(E10:X10,7),LARGE(E10:X10,8),LARGE(E10:X10,9)))</f>
        <v>254</v>
      </c>
    </row>
    <row r="11" spans="2:26" ht="15">
      <c r="B11" s="35">
        <v>2</v>
      </c>
      <c r="C11" s="36" t="s">
        <v>31</v>
      </c>
      <c r="D11" s="36" t="s">
        <v>325</v>
      </c>
      <c r="E11" s="196">
        <v>30</v>
      </c>
      <c r="F11" s="452">
        <v>20</v>
      </c>
      <c r="G11" s="43">
        <v>30</v>
      </c>
      <c r="H11" s="43">
        <v>30</v>
      </c>
      <c r="I11" s="43">
        <v>25</v>
      </c>
      <c r="J11" s="43"/>
      <c r="K11" s="43">
        <v>28</v>
      </c>
      <c r="L11" s="38"/>
      <c r="M11" s="38"/>
      <c r="N11" s="38">
        <v>24</v>
      </c>
      <c r="O11" s="38">
        <v>26</v>
      </c>
      <c r="P11" s="38"/>
      <c r="Q11" s="38"/>
      <c r="R11" s="38"/>
      <c r="S11" s="38"/>
      <c r="T11" s="38"/>
      <c r="U11" s="38"/>
      <c r="V11" s="43">
        <v>27</v>
      </c>
      <c r="W11" s="43"/>
      <c r="X11" s="38">
        <v>29</v>
      </c>
      <c r="Y11" s="40">
        <f>COUNT(E11:X11)</f>
        <v>10</v>
      </c>
      <c r="Z11" s="39">
        <f>IF(Y11&lt;9,SUM(E11:X11),SUM(LARGE(E11:X11,1),LARGE(E11:X11,2),LARGE(E11:X11,3),LARGE(E11:X11,4),LARGE(E11:X11,5),LARGE(E11:X11,6),LARGE(E11:X11,7),LARGE(E11:X11,8),LARGE(E11:X11,9)))</f>
        <v>249</v>
      </c>
    </row>
    <row r="12" spans="2:26" ht="15">
      <c r="B12" s="35">
        <v>3</v>
      </c>
      <c r="C12" s="40" t="s">
        <v>334</v>
      </c>
      <c r="D12" s="40" t="s">
        <v>335</v>
      </c>
      <c r="E12" s="196">
        <v>27</v>
      </c>
      <c r="F12" s="452">
        <v>19</v>
      </c>
      <c r="G12" s="38">
        <v>27</v>
      </c>
      <c r="H12" s="38"/>
      <c r="I12" s="38">
        <v>29</v>
      </c>
      <c r="J12" s="38">
        <v>25</v>
      </c>
      <c r="K12" s="38">
        <v>29</v>
      </c>
      <c r="L12" s="38">
        <v>28</v>
      </c>
      <c r="M12" s="38"/>
      <c r="N12" s="38">
        <v>27</v>
      </c>
      <c r="O12" s="38">
        <v>25</v>
      </c>
      <c r="P12" s="38"/>
      <c r="Q12" s="38"/>
      <c r="R12" s="38"/>
      <c r="S12" s="38"/>
      <c r="T12" s="38"/>
      <c r="U12" s="38"/>
      <c r="V12" s="38">
        <v>29</v>
      </c>
      <c r="W12" s="38"/>
      <c r="X12" s="38"/>
      <c r="Y12" s="40">
        <f aca="true" t="shared" si="0" ref="Y12:Y34">COUNT(E12:X12)</f>
        <v>10</v>
      </c>
      <c r="Z12" s="39">
        <f aca="true" t="shared" si="1" ref="Z12:Z34">IF(Y12&lt;9,SUM(E12:X12),SUM(LARGE(E12:X12,1),LARGE(E12:X12,2),LARGE(E12:X12,3),LARGE(E12:X12,4),LARGE(E12:X12,5),LARGE(E12:X12,6),LARGE(E12:X12,7),LARGE(E12:X12,8),LARGE(E12:X12,9)))</f>
        <v>246</v>
      </c>
    </row>
    <row r="13" spans="2:26" ht="15">
      <c r="B13" s="35">
        <v>4</v>
      </c>
      <c r="C13" s="40" t="s">
        <v>237</v>
      </c>
      <c r="D13" s="40" t="s">
        <v>271</v>
      </c>
      <c r="E13" s="196">
        <v>28</v>
      </c>
      <c r="F13" s="196"/>
      <c r="G13" s="38"/>
      <c r="H13" s="38"/>
      <c r="I13" s="38"/>
      <c r="J13" s="38">
        <v>26</v>
      </c>
      <c r="K13" s="38"/>
      <c r="L13" s="38"/>
      <c r="M13" s="38"/>
      <c r="N13" s="38">
        <v>26</v>
      </c>
      <c r="O13" s="38">
        <v>29</v>
      </c>
      <c r="P13" s="38"/>
      <c r="Q13" s="38"/>
      <c r="R13" s="38"/>
      <c r="S13" s="38">
        <v>30</v>
      </c>
      <c r="T13" s="38"/>
      <c r="U13" s="38">
        <v>30</v>
      </c>
      <c r="V13" s="38"/>
      <c r="W13" s="38">
        <v>30</v>
      </c>
      <c r="X13" s="38">
        <v>30</v>
      </c>
      <c r="Y13" s="40">
        <f>COUNT(E13:X13)</f>
        <v>8</v>
      </c>
      <c r="Z13" s="39">
        <f>IF(Y13&lt;9,SUM(E13:X13),SUM(LARGE(E13:X13,1),LARGE(E13:X13,2),LARGE(E13:X13,3),LARGE(E13:X13,4),LARGE(E13:X13,5),LARGE(E13:X13,6),LARGE(E13:X13,7),LARGE(E13:X13,8),LARGE(E13:X13,9)))</f>
        <v>229</v>
      </c>
    </row>
    <row r="14" spans="2:26" ht="15">
      <c r="B14" s="35">
        <v>5</v>
      </c>
      <c r="C14" s="36" t="s">
        <v>332</v>
      </c>
      <c r="D14" s="36" t="s">
        <v>333</v>
      </c>
      <c r="E14" s="197">
        <v>23</v>
      </c>
      <c r="F14" s="197">
        <v>23</v>
      </c>
      <c r="G14" s="38">
        <v>29</v>
      </c>
      <c r="H14" s="38"/>
      <c r="I14" s="38">
        <v>30</v>
      </c>
      <c r="J14" s="38">
        <v>28</v>
      </c>
      <c r="K14" s="38"/>
      <c r="L14" s="38">
        <v>30</v>
      </c>
      <c r="M14" s="38"/>
      <c r="N14" s="38">
        <v>29</v>
      </c>
      <c r="O14" s="38"/>
      <c r="P14" s="38"/>
      <c r="Q14" s="38"/>
      <c r="R14" s="38"/>
      <c r="S14" s="38"/>
      <c r="T14" s="38"/>
      <c r="U14" s="38"/>
      <c r="V14" s="38">
        <v>28</v>
      </c>
      <c r="W14" s="38"/>
      <c r="X14" s="38"/>
      <c r="Y14" s="40">
        <f t="shared" si="0"/>
        <v>8</v>
      </c>
      <c r="Z14" s="39">
        <f t="shared" si="1"/>
        <v>220</v>
      </c>
    </row>
    <row r="15" spans="2:26" ht="15">
      <c r="B15" s="35">
        <v>6</v>
      </c>
      <c r="C15" s="40" t="s">
        <v>194</v>
      </c>
      <c r="D15" s="40" t="s">
        <v>145</v>
      </c>
      <c r="E15" s="196">
        <v>24</v>
      </c>
      <c r="F15" s="196">
        <v>21</v>
      </c>
      <c r="G15" s="38"/>
      <c r="H15" s="38"/>
      <c r="I15" s="38">
        <v>26</v>
      </c>
      <c r="J15" s="38">
        <v>24</v>
      </c>
      <c r="K15" s="38">
        <v>27</v>
      </c>
      <c r="L15" s="38"/>
      <c r="M15" s="38"/>
      <c r="N15" s="38"/>
      <c r="O15" s="38"/>
      <c r="P15" s="38"/>
      <c r="Q15" s="38">
        <v>30</v>
      </c>
      <c r="R15" s="38"/>
      <c r="S15" s="38"/>
      <c r="T15" s="38"/>
      <c r="U15" s="38"/>
      <c r="V15" s="38"/>
      <c r="W15" s="38"/>
      <c r="X15" s="38"/>
      <c r="Y15" s="40">
        <f t="shared" si="0"/>
        <v>6</v>
      </c>
      <c r="Z15" s="39">
        <f t="shared" si="1"/>
        <v>152</v>
      </c>
    </row>
    <row r="16" spans="2:26" ht="15">
      <c r="B16" s="35">
        <v>7</v>
      </c>
      <c r="C16" s="40" t="s">
        <v>191</v>
      </c>
      <c r="D16" s="40" t="s">
        <v>192</v>
      </c>
      <c r="E16" s="196">
        <v>22</v>
      </c>
      <c r="F16" s="196">
        <v>24</v>
      </c>
      <c r="G16" s="38">
        <v>28</v>
      </c>
      <c r="H16" s="38"/>
      <c r="I16" s="38"/>
      <c r="J16" s="38"/>
      <c r="K16" s="38"/>
      <c r="L16" s="38"/>
      <c r="M16" s="38"/>
      <c r="N16" s="38"/>
      <c r="O16" s="38">
        <v>28</v>
      </c>
      <c r="P16" s="38"/>
      <c r="Q16" s="38"/>
      <c r="R16" s="38"/>
      <c r="S16" s="38"/>
      <c r="T16" s="38">
        <v>29</v>
      </c>
      <c r="U16" s="38"/>
      <c r="V16" s="38"/>
      <c r="W16" s="38"/>
      <c r="X16" s="38"/>
      <c r="Y16" s="40">
        <f>COUNT(E16:X16)</f>
        <v>5</v>
      </c>
      <c r="Z16" s="39">
        <f>IF(Y16&lt;9,SUM(E16:X16),SUM(LARGE(E16:X16,1),LARGE(E16:X16,2),LARGE(E16:X16,3),LARGE(E16:X16,4),LARGE(E16:X16,5),LARGE(E16:X16,6),LARGE(E16:X16,7),LARGE(E16:X16,8),LARGE(E16:X16,9)))</f>
        <v>131</v>
      </c>
    </row>
    <row r="17" spans="2:26" ht="15">
      <c r="B17" s="35">
        <v>8</v>
      </c>
      <c r="C17" s="40" t="s">
        <v>186</v>
      </c>
      <c r="D17" s="40" t="s">
        <v>163</v>
      </c>
      <c r="E17" s="196">
        <v>25</v>
      </c>
      <c r="F17" s="196"/>
      <c r="G17" s="38"/>
      <c r="H17" s="38"/>
      <c r="I17" s="38"/>
      <c r="J17" s="38">
        <v>30</v>
      </c>
      <c r="K17" s="38">
        <v>30</v>
      </c>
      <c r="L17" s="38"/>
      <c r="M17" s="38"/>
      <c r="N17" s="38">
        <v>30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0">
        <f t="shared" si="0"/>
        <v>4</v>
      </c>
      <c r="Z17" s="39">
        <f t="shared" si="1"/>
        <v>115</v>
      </c>
    </row>
    <row r="18" spans="2:26" ht="15">
      <c r="B18" s="35">
        <v>9</v>
      </c>
      <c r="C18" s="40" t="s">
        <v>229</v>
      </c>
      <c r="D18" s="40" t="s">
        <v>195</v>
      </c>
      <c r="E18" s="196"/>
      <c r="F18" s="196">
        <v>30</v>
      </c>
      <c r="G18" s="38"/>
      <c r="H18" s="38"/>
      <c r="I18" s="38">
        <v>28</v>
      </c>
      <c r="J18" s="38">
        <v>29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1">
        <f t="shared" si="0"/>
        <v>3</v>
      </c>
      <c r="Z18" s="39">
        <f t="shared" si="1"/>
        <v>87</v>
      </c>
    </row>
    <row r="19" spans="2:26" ht="15">
      <c r="B19" s="35">
        <v>10</v>
      </c>
      <c r="C19" s="40" t="s">
        <v>205</v>
      </c>
      <c r="D19" s="40" t="s">
        <v>254</v>
      </c>
      <c r="E19" s="196">
        <v>21</v>
      </c>
      <c r="F19" s="196"/>
      <c r="G19" s="38"/>
      <c r="H19" s="38"/>
      <c r="I19" s="38"/>
      <c r="J19" s="38"/>
      <c r="K19" s="38"/>
      <c r="L19" s="38">
        <v>27</v>
      </c>
      <c r="M19" s="38"/>
      <c r="N19" s="38"/>
      <c r="O19" s="38">
        <v>24</v>
      </c>
      <c r="P19" s="38"/>
      <c r="Q19" s="38"/>
      <c r="R19" s="38"/>
      <c r="S19" s="38"/>
      <c r="T19" s="38"/>
      <c r="U19" s="38"/>
      <c r="V19" s="38"/>
      <c r="W19" s="38"/>
      <c r="X19" s="38"/>
      <c r="Y19" s="41">
        <f t="shared" si="0"/>
        <v>3</v>
      </c>
      <c r="Z19" s="39">
        <f t="shared" si="1"/>
        <v>72</v>
      </c>
    </row>
    <row r="20" spans="2:26" ht="15">
      <c r="B20" s="35">
        <v>11</v>
      </c>
      <c r="C20" s="40" t="s">
        <v>225</v>
      </c>
      <c r="D20" s="40" t="s">
        <v>174</v>
      </c>
      <c r="E20" s="196"/>
      <c r="F20" s="196"/>
      <c r="G20" s="38"/>
      <c r="H20" s="38"/>
      <c r="I20" s="38"/>
      <c r="J20" s="38"/>
      <c r="K20" s="38"/>
      <c r="L20" s="38">
        <v>29</v>
      </c>
      <c r="M20" s="38"/>
      <c r="N20" s="38">
        <v>28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1">
        <f t="shared" si="0"/>
        <v>2</v>
      </c>
      <c r="Z20" s="39">
        <f t="shared" si="1"/>
        <v>57</v>
      </c>
    </row>
    <row r="21" spans="2:26" ht="15">
      <c r="B21" s="35">
        <v>12</v>
      </c>
      <c r="C21" s="40" t="s">
        <v>193</v>
      </c>
      <c r="D21" s="40" t="s">
        <v>55</v>
      </c>
      <c r="E21" s="196">
        <v>29</v>
      </c>
      <c r="F21" s="196">
        <v>27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>
        <f t="shared" si="0"/>
        <v>2</v>
      </c>
      <c r="Z21" s="39">
        <f t="shared" si="1"/>
        <v>56</v>
      </c>
    </row>
    <row r="22" spans="2:26" ht="15">
      <c r="B22" s="35">
        <v>13</v>
      </c>
      <c r="C22" s="40" t="s">
        <v>63</v>
      </c>
      <c r="D22" s="40" t="s">
        <v>322</v>
      </c>
      <c r="E22" s="196">
        <v>20</v>
      </c>
      <c r="F22" s="196">
        <v>26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1">
        <f t="shared" si="0"/>
        <v>2</v>
      </c>
      <c r="Z22" s="39">
        <f t="shared" si="1"/>
        <v>46</v>
      </c>
    </row>
    <row r="23" spans="2:26" ht="15">
      <c r="B23" s="35">
        <v>14</v>
      </c>
      <c r="C23" s="40" t="s">
        <v>220</v>
      </c>
      <c r="D23" s="40" t="s">
        <v>145</v>
      </c>
      <c r="E23" s="196">
        <v>18</v>
      </c>
      <c r="F23" s="196">
        <v>22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>
        <f t="shared" si="0"/>
        <v>2</v>
      </c>
      <c r="Z23" s="39">
        <f t="shared" si="1"/>
        <v>40</v>
      </c>
    </row>
    <row r="24" spans="2:26" ht="15">
      <c r="B24" s="333">
        <v>15</v>
      </c>
      <c r="C24" s="40" t="s">
        <v>261</v>
      </c>
      <c r="D24" s="40" t="s">
        <v>260</v>
      </c>
      <c r="E24" s="196"/>
      <c r="F24" s="196">
        <v>29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1">
        <f t="shared" si="0"/>
        <v>1</v>
      </c>
      <c r="Z24" s="39">
        <f t="shared" si="1"/>
        <v>29</v>
      </c>
    </row>
    <row r="25" spans="2:26" ht="15">
      <c r="B25" s="35" t="s">
        <v>602</v>
      </c>
      <c r="C25" s="40" t="s">
        <v>330</v>
      </c>
      <c r="D25" s="40" t="s">
        <v>331</v>
      </c>
      <c r="E25" s="196"/>
      <c r="F25" s="196">
        <v>28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1">
        <f t="shared" si="0"/>
        <v>1</v>
      </c>
      <c r="Z25" s="39">
        <f t="shared" si="1"/>
        <v>28</v>
      </c>
    </row>
    <row r="26" spans="2:26" ht="15">
      <c r="B26" s="35" t="s">
        <v>602</v>
      </c>
      <c r="C26" s="40" t="s">
        <v>103</v>
      </c>
      <c r="D26" s="40" t="s">
        <v>240</v>
      </c>
      <c r="E26" s="196"/>
      <c r="F26" s="196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>
        <v>28</v>
      </c>
      <c r="U26" s="38"/>
      <c r="V26" s="38"/>
      <c r="W26" s="38"/>
      <c r="X26" s="38"/>
      <c r="Y26" s="41">
        <f>COUNT(E26:X26)</f>
        <v>1</v>
      </c>
      <c r="Z26" s="39">
        <f>IF(Y26&lt;9,SUM(E26:X26),SUM(LARGE(E26:X26,1),LARGE(E26:X26,2),LARGE(E26:X26,3),LARGE(E26:X26,4),LARGE(E26:X26,5),LARGE(E26:X26,6),LARGE(E26:X26,7),LARGE(E26:X26,8),LARGE(E26:X26,9)))</f>
        <v>28</v>
      </c>
    </row>
    <row r="27" spans="2:26" ht="15">
      <c r="B27" s="35">
        <v>18</v>
      </c>
      <c r="C27" s="40" t="s">
        <v>179</v>
      </c>
      <c r="D27" s="40" t="s">
        <v>180</v>
      </c>
      <c r="E27" s="196"/>
      <c r="F27" s="196"/>
      <c r="G27" s="38"/>
      <c r="H27" s="38"/>
      <c r="I27" s="38"/>
      <c r="J27" s="38"/>
      <c r="K27" s="38"/>
      <c r="L27" s="38"/>
      <c r="M27" s="38"/>
      <c r="N27" s="38"/>
      <c r="O27" s="38">
        <v>27</v>
      </c>
      <c r="P27" s="38"/>
      <c r="Q27" s="38"/>
      <c r="R27" s="38"/>
      <c r="S27" s="38"/>
      <c r="T27" s="38"/>
      <c r="U27" s="38"/>
      <c r="V27" s="38"/>
      <c r="W27" s="38"/>
      <c r="X27" s="38"/>
      <c r="Y27" s="41">
        <f t="shared" si="0"/>
        <v>1</v>
      </c>
      <c r="Z27" s="39">
        <f t="shared" si="1"/>
        <v>27</v>
      </c>
    </row>
    <row r="28" spans="2:26" ht="15">
      <c r="B28" s="35">
        <v>19</v>
      </c>
      <c r="C28" s="40" t="s">
        <v>203</v>
      </c>
      <c r="D28" s="40" t="s">
        <v>204</v>
      </c>
      <c r="E28" s="196">
        <v>19</v>
      </c>
      <c r="F28" s="19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42"/>
      <c r="Y28" s="40">
        <f t="shared" si="0"/>
        <v>1</v>
      </c>
      <c r="Z28" s="39">
        <f t="shared" si="1"/>
        <v>19</v>
      </c>
    </row>
    <row r="29" spans="2:26" ht="15">
      <c r="B29" s="35" t="s">
        <v>533</v>
      </c>
      <c r="C29" s="40" t="s">
        <v>394</v>
      </c>
      <c r="D29" s="40" t="s">
        <v>395</v>
      </c>
      <c r="E29" s="196"/>
      <c r="F29" s="19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39">
        <f t="shared" si="1"/>
        <v>0</v>
      </c>
    </row>
    <row r="30" spans="2:26" ht="15">
      <c r="B30" s="35" t="s">
        <v>533</v>
      </c>
      <c r="C30" s="40" t="s">
        <v>289</v>
      </c>
      <c r="D30" s="40" t="s">
        <v>135</v>
      </c>
      <c r="E30" s="196"/>
      <c r="F30" s="196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39">
        <f t="shared" si="1"/>
        <v>0</v>
      </c>
    </row>
    <row r="31" spans="2:26" ht="15">
      <c r="B31" s="35" t="s">
        <v>533</v>
      </c>
      <c r="C31" s="40" t="s">
        <v>226</v>
      </c>
      <c r="D31" s="40" t="s">
        <v>262</v>
      </c>
      <c r="E31" s="196"/>
      <c r="F31" s="19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39">
        <f t="shared" si="1"/>
        <v>0</v>
      </c>
    </row>
    <row r="32" spans="2:26" ht="15">
      <c r="B32" s="35" t="s">
        <v>533</v>
      </c>
      <c r="C32" s="40" t="s">
        <v>255</v>
      </c>
      <c r="D32" s="40" t="s">
        <v>150</v>
      </c>
      <c r="E32" s="196"/>
      <c r="F32" s="196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39">
        <f t="shared" si="1"/>
        <v>0</v>
      </c>
    </row>
    <row r="33" spans="2:26" ht="15">
      <c r="B33" s="35" t="s">
        <v>533</v>
      </c>
      <c r="C33" s="40" t="s">
        <v>294</v>
      </c>
      <c r="D33" s="40" t="s">
        <v>175</v>
      </c>
      <c r="E33" s="196"/>
      <c r="F33" s="196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39">
        <f t="shared" si="1"/>
        <v>0</v>
      </c>
    </row>
    <row r="34" spans="2:26" ht="15.75" thickBot="1">
      <c r="B34" s="35" t="s">
        <v>533</v>
      </c>
      <c r="C34" s="44" t="s">
        <v>187</v>
      </c>
      <c r="D34" s="44" t="s">
        <v>188</v>
      </c>
      <c r="E34" s="45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48">
        <f t="shared" si="0"/>
        <v>0</v>
      </c>
      <c r="Z34" s="49">
        <f t="shared" si="1"/>
        <v>0</v>
      </c>
    </row>
    <row r="35" ht="15.75" thickTop="1"/>
  </sheetData>
  <sheetProtection/>
  <mergeCells count="4">
    <mergeCell ref="B7:C7"/>
    <mergeCell ref="Z7:Z9"/>
    <mergeCell ref="Y7:Y9"/>
    <mergeCell ref="T2:Y2"/>
  </mergeCells>
  <conditionalFormatting sqref="E35:Y36">
    <cfRule type="cellIs" priority="95" dxfId="8" operator="equal" stopIfTrue="1">
      <formula>20</formula>
    </cfRule>
  </conditionalFormatting>
  <conditionalFormatting sqref="Z35:Z36 Y10:Y35">
    <cfRule type="cellIs" priority="54" dxfId="0" operator="greaterThan" stopIfTrue="1">
      <formula>9</formula>
    </cfRule>
  </conditionalFormatting>
  <conditionalFormatting sqref="E10:X34">
    <cfRule type="cellIs" priority="98" dxfId="0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Z31"/>
  <sheetViews>
    <sheetView showGridLines="0" zoomScalePageLayoutView="0" workbookViewId="0" topLeftCell="E8">
      <selection activeCell="Y30" sqref="Y30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3.00390625" style="0" bestFit="1" customWidth="1"/>
    <col min="4" max="4" width="13.5742187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7.00390625" style="0" bestFit="1" customWidth="1"/>
    <col min="9" max="9" width="6.7109375" style="0" bestFit="1" customWidth="1"/>
    <col min="10" max="10" width="7.28125" style="0" bestFit="1" customWidth="1"/>
    <col min="11" max="12" width="6.8515625" style="0" bestFit="1" customWidth="1"/>
    <col min="13" max="13" width="6.28125" style="0" bestFit="1" customWidth="1"/>
    <col min="14" max="15" width="6.28125" style="0" customWidth="1"/>
    <col min="16" max="17" width="7.140625" style="0" bestFit="1" customWidth="1"/>
    <col min="18" max="18" width="14.7109375" style="0" bestFit="1" customWidth="1"/>
    <col min="19" max="19" width="11.28125" style="0" bestFit="1" customWidth="1"/>
    <col min="20" max="20" width="6.57421875" style="0" bestFit="1" customWidth="1"/>
    <col min="21" max="21" width="7.00390625" style="0" bestFit="1" customWidth="1"/>
    <col min="22" max="22" width="5.7109375" style="0" bestFit="1" customWidth="1"/>
    <col min="23" max="23" width="9.00390625" style="0" bestFit="1" customWidth="1"/>
    <col min="24" max="24" width="7.00390625" style="0" bestFit="1" customWidth="1"/>
    <col min="25" max="26" width="5.7109375" style="0" customWidth="1"/>
  </cols>
  <sheetData>
    <row r="1" ht="15.75" thickBot="1"/>
    <row r="2" spans="2:25" ht="33" thickBot="1" thickTop="1">
      <c r="B2" s="50" t="s">
        <v>450</v>
      </c>
      <c r="T2" s="459" t="s">
        <v>24</v>
      </c>
      <c r="U2" s="460"/>
      <c r="V2" s="460"/>
      <c r="W2" s="460"/>
      <c r="X2" s="460"/>
      <c r="Y2" s="461"/>
    </row>
    <row r="3" ht="15.75" thickTop="1"/>
    <row r="4" ht="15.75" thickBot="1"/>
    <row r="5" spans="2:26" ht="16.5" thickBot="1" thickTop="1">
      <c r="B5" s="270"/>
      <c r="C5" s="271"/>
      <c r="D5" s="271"/>
      <c r="E5" s="1">
        <f>+'Division 1'!E5</f>
        <v>1</v>
      </c>
      <c r="F5" s="1">
        <f>+'Division 1'!F5</f>
        <v>2</v>
      </c>
      <c r="G5" s="1">
        <f>+'Division 1'!G5</f>
        <v>3</v>
      </c>
      <c r="H5" s="1">
        <f>+'Division 1'!H5</f>
        <v>4</v>
      </c>
      <c r="I5" s="1">
        <f>+'Division 1'!I5</f>
        <v>5</v>
      </c>
      <c r="J5" s="1">
        <f>+'Division 1'!J5</f>
        <v>6</v>
      </c>
      <c r="K5" s="1">
        <f>+'Division 1'!K5</f>
        <v>7</v>
      </c>
      <c r="L5" s="1">
        <f>+'Division 1'!L5</f>
        <v>8</v>
      </c>
      <c r="M5" s="1">
        <f>+'Division 1'!M5</f>
        <v>9</v>
      </c>
      <c r="N5" s="1">
        <f>+'Division 1'!N5</f>
        <v>10</v>
      </c>
      <c r="O5" s="1">
        <f>+'Division 1'!O5</f>
        <v>11</v>
      </c>
      <c r="P5" s="1">
        <f>+'Division 1'!P5</f>
        <v>12</v>
      </c>
      <c r="Q5" s="1">
        <f>+'Division 1'!Q5</f>
        <v>13</v>
      </c>
      <c r="R5" s="1">
        <f>+'Division 1'!R5</f>
        <v>14</v>
      </c>
      <c r="S5" s="1">
        <f>+'Division 1'!S5</f>
        <v>15</v>
      </c>
      <c r="T5" s="1">
        <f>+'Division 1'!T5</f>
        <v>16</v>
      </c>
      <c r="U5" s="1">
        <f>+'Division 1'!U5</f>
        <v>17</v>
      </c>
      <c r="V5" s="1">
        <f>+'Division 1'!V5</f>
        <v>18</v>
      </c>
      <c r="W5" s="1">
        <f>+'Division 1'!W5</f>
        <v>19</v>
      </c>
      <c r="X5" s="229">
        <f>+'Division 1'!X5</f>
        <v>20</v>
      </c>
      <c r="Y5" s="243"/>
      <c r="Z5" s="244"/>
    </row>
    <row r="6" spans="2:26" ht="15" customHeight="1" thickBot="1">
      <c r="B6" s="272"/>
      <c r="C6" s="273"/>
      <c r="D6" s="274"/>
      <c r="E6" s="5" t="str">
        <f>+'Division 1'!E6</f>
        <v>Sat</v>
      </c>
      <c r="F6" s="5">
        <f>+'Division 1'!F6</f>
        <v>42015</v>
      </c>
      <c r="G6" s="5">
        <f>+'Division 1'!G6</f>
        <v>42043</v>
      </c>
      <c r="H6" s="5">
        <f>+'Division 1'!H6</f>
        <v>42085</v>
      </c>
      <c r="I6" s="5">
        <f>+'Division 1'!I6</f>
        <v>42113</v>
      </c>
      <c r="J6" s="5">
        <f>+'Division 1'!J6</f>
        <v>42140</v>
      </c>
      <c r="K6" s="5">
        <f>+'Division 1'!K6</f>
        <v>42162</v>
      </c>
      <c r="L6" s="5">
        <f>+'Division 1'!L6</f>
        <v>42186</v>
      </c>
      <c r="M6" s="5">
        <f>+'Division 1'!M6</f>
        <v>42192</v>
      </c>
      <c r="N6" s="5">
        <f>+'Division 1'!N6</f>
        <v>42195</v>
      </c>
      <c r="O6" s="5">
        <f>+'Division 1'!O6</f>
        <v>42214</v>
      </c>
      <c r="P6" s="5">
        <f>+'Division 1'!P6</f>
        <v>42220</v>
      </c>
      <c r="Q6" s="5">
        <f>+'Division 1'!Q6</f>
        <v>42253</v>
      </c>
      <c r="R6" s="5" t="str">
        <f>+'Division 1'!R6</f>
        <v>20-May+23-Sep</v>
      </c>
      <c r="S6" s="5" t="str">
        <f>+'Division 1'!S6</f>
        <v>13 &amp; 27-Sep</v>
      </c>
      <c r="T6" s="5">
        <f>+'Division 1'!T6</f>
        <v>42302</v>
      </c>
      <c r="U6" s="5">
        <f>+'Division 1'!U6</f>
        <v>42316</v>
      </c>
      <c r="V6" s="5" t="str">
        <f>+'Division 1'!V6</f>
        <v>29-Nov</v>
      </c>
      <c r="W6" s="5" t="str">
        <f>+'Division 1'!W6</f>
        <v>13-Dec</v>
      </c>
      <c r="X6" s="5">
        <f>+'Division 1'!X6</f>
        <v>42365</v>
      </c>
      <c r="Y6" s="237"/>
      <c r="Z6" s="242"/>
    </row>
    <row r="7" spans="2:26" ht="91.5" customHeight="1" thickBot="1">
      <c r="B7" s="480"/>
      <c r="C7" s="481"/>
      <c r="D7" s="275"/>
      <c r="E7" s="236" t="str">
        <f>+'Division 1'!E7</f>
        <v>Hudds/Halifax Park Run</v>
      </c>
      <c r="F7" s="236" t="str">
        <f>+'Division 1'!F7</f>
        <v>Stainland Winter Handicap</v>
      </c>
      <c r="G7" s="236" t="str">
        <f>+'Division 1'!G7</f>
        <v>Xcountry Temple Newsham</v>
      </c>
      <c r="H7" s="236" t="str">
        <f>+'Division 1'!H7</f>
        <v>Thirsk</v>
      </c>
      <c r="I7" s="236" t="str">
        <f>+'Division 1'!I7</f>
        <v>Overgate Hospice</v>
      </c>
      <c r="J7" s="236" t="str">
        <f>+'Division 1'!J7</f>
        <v>Sowerby Scorcher</v>
      </c>
      <c r="K7" s="236" t="str">
        <f>+'Division 1'!K7</f>
        <v>Bolton Brow Burner</v>
      </c>
      <c r="L7" s="236" t="str">
        <f>+'Division 1'!L7</f>
        <v>Helen Windsor</v>
      </c>
      <c r="M7" s="236" t="str">
        <f>+'Division 1'!M7</f>
        <v>Crossgates Vets</v>
      </c>
      <c r="N7" s="236" t="str">
        <f>+'Division 1'!N7</f>
        <v>Woodland Challenge</v>
      </c>
      <c r="O7" s="236" t="str">
        <f>+'Division 1'!O7</f>
        <v>Flat Cap</v>
      </c>
      <c r="P7" s="236" t="str">
        <f>+'Division 1'!P7</f>
        <v>Crow Hill</v>
      </c>
      <c r="Q7" s="236" t="str">
        <f>+'Division 1'!Q7</f>
        <v>Kirkwood Hospice</v>
      </c>
      <c r="R7" s="236" t="str">
        <f>+'Division 1'!R7</f>
        <v>Track</v>
      </c>
      <c r="S7" s="236" t="str">
        <f>+'Division 1'!S7</f>
        <v>Yorkshireman / Macclesfield</v>
      </c>
      <c r="T7" s="236" t="str">
        <f>+'Division 1'!T7</f>
        <v>Bronte Way</v>
      </c>
      <c r="U7" s="236" t="str">
        <f>+'Division 1'!U7</f>
        <v>Spen Vets</v>
      </c>
      <c r="V7" s="236" t="str">
        <f>+'Division 1'!V7</f>
        <v>Barnsley</v>
      </c>
      <c r="W7" s="236" t="str">
        <f>+'Division 1'!W7</f>
        <v>Xcountry Dewsbury</v>
      </c>
      <c r="X7" s="236" t="str">
        <f>+'Division 1'!X7</f>
        <v>Ward Green</v>
      </c>
      <c r="Y7" s="464" t="s">
        <v>2</v>
      </c>
      <c r="Z7" s="472" t="s">
        <v>3</v>
      </c>
    </row>
    <row r="8" spans="2:26" s="15" customFormat="1" ht="15.75" customHeight="1" thickBot="1">
      <c r="B8" s="276"/>
      <c r="C8" s="277"/>
      <c r="D8" s="277"/>
      <c r="E8" s="12" t="str">
        <f>+'Division 1'!E8</f>
        <v>5K</v>
      </c>
      <c r="F8" s="12" t="str">
        <f>+'Division 1'!F8</f>
        <v>6ish</v>
      </c>
      <c r="G8" s="12" t="str">
        <f>+'Division 1'!G8</f>
        <v>5.2M</v>
      </c>
      <c r="H8" s="12" t="str">
        <f>+'Division 1'!H8</f>
        <v>10M</v>
      </c>
      <c r="I8" s="12" t="str">
        <f>+'Division 1'!I8</f>
        <v>10K</v>
      </c>
      <c r="J8" s="12" t="str">
        <f>+'Division 1'!J8</f>
        <v>10K</v>
      </c>
      <c r="K8" s="12" t="str">
        <f>+'Division 1'!K8</f>
        <v>10K</v>
      </c>
      <c r="L8" s="12" t="str">
        <f>+'Division 1'!L8</f>
        <v>10K</v>
      </c>
      <c r="M8" s="12" t="str">
        <f>+'Division 1'!M8</f>
        <v>5.2M</v>
      </c>
      <c r="N8" s="12" t="str">
        <f>+'Division 1'!N8</f>
        <v>6.5M</v>
      </c>
      <c r="O8" s="12" t="str">
        <f>+'Division 1'!O8</f>
        <v>5M</v>
      </c>
      <c r="P8" s="12" t="str">
        <f>+'Division 1'!P8</f>
        <v>5M</v>
      </c>
      <c r="Q8" s="12" t="str">
        <f>+'Division 1'!Q8</f>
        <v>10K</v>
      </c>
      <c r="R8" s="12" t="str">
        <f>+'Division 1'!R8</f>
        <v>3K</v>
      </c>
      <c r="S8" s="12" t="str">
        <f>+'Division 1'!S8</f>
        <v>Half</v>
      </c>
      <c r="T8" s="12" t="str">
        <f>+'Division 1'!T8</f>
        <v>8M</v>
      </c>
      <c r="U8" s="12" t="str">
        <f>+'Division 1'!U8</f>
        <v>5M</v>
      </c>
      <c r="V8" s="12" t="str">
        <f>+'Division 1'!V8</f>
        <v>10K</v>
      </c>
      <c r="W8" s="12">
        <f>+'Division 1'!W8</f>
        <v>5.2</v>
      </c>
      <c r="X8" s="12" t="str">
        <f>+'Division 1'!X8</f>
        <v>5.6M</v>
      </c>
      <c r="Y8" s="464"/>
      <c r="Z8" s="472"/>
    </row>
    <row r="9" spans="2:26" s="15" customFormat="1" ht="15.75" customHeight="1" thickBot="1">
      <c r="B9" s="78" t="s">
        <v>20</v>
      </c>
      <c r="C9" s="23" t="s">
        <v>17</v>
      </c>
      <c r="D9" s="22" t="s">
        <v>18</v>
      </c>
      <c r="E9" s="16" t="str">
        <f>+'Division 1'!E9</f>
        <v>Park</v>
      </c>
      <c r="F9" s="16" t="str">
        <f>+'Division 1'!F9</f>
        <v>Road</v>
      </c>
      <c r="G9" s="16" t="str">
        <f>+'Division 1'!G9</f>
        <v>Xcountry</v>
      </c>
      <c r="H9" s="16" t="str">
        <f>+'Division 1'!H9</f>
        <v>Road</v>
      </c>
      <c r="I9" s="16" t="str">
        <f>+'Division 1'!I9</f>
        <v>Road</v>
      </c>
      <c r="J9" s="16" t="str">
        <f>+'Division 1'!J9</f>
        <v>Multi</v>
      </c>
      <c r="K9" s="16" t="str">
        <f>+'Division 1'!K9</f>
        <v>Trail</v>
      </c>
      <c r="L9" s="16" t="str">
        <f>+'Division 1'!L9</f>
        <v>Road</v>
      </c>
      <c r="M9" s="16" t="str">
        <f>+'Division 1'!M9</f>
        <v>Trail</v>
      </c>
      <c r="N9" s="16" t="str">
        <f>+'Division 1'!N9</f>
        <v>Trail</v>
      </c>
      <c r="O9" s="16" t="str">
        <f>+'Division 1'!O9</f>
        <v>Multi</v>
      </c>
      <c r="P9" s="16" t="str">
        <f>+'Division 1'!P9</f>
        <v>Fell</v>
      </c>
      <c r="Q9" s="16" t="str">
        <f>+'Division 1'!Q9</f>
        <v>Trail</v>
      </c>
      <c r="R9" s="16" t="str">
        <f>+'Division 1'!R9</f>
        <v>Track</v>
      </c>
      <c r="S9" s="16" t="str">
        <f>+'Division 1'!S9</f>
        <v>Fell/Road</v>
      </c>
      <c r="T9" s="16" t="str">
        <f>+'Division 1'!T9</f>
        <v>Fell</v>
      </c>
      <c r="U9" s="16" t="str">
        <f>+'Division 1'!U9</f>
        <v>Trail</v>
      </c>
      <c r="V9" s="16" t="str">
        <f>+'Division 1'!V9</f>
        <v>Road</v>
      </c>
      <c r="W9" s="16" t="str">
        <f>+'Division 1'!W9</f>
        <v>Xcountry</v>
      </c>
      <c r="X9" s="16" t="str">
        <f>+'Division 1'!X9</f>
        <v>Road</v>
      </c>
      <c r="Y9" s="455"/>
      <c r="Z9" s="473"/>
    </row>
    <row r="10" spans="2:26" ht="15.75" thickBot="1">
      <c r="B10" s="278">
        <v>1</v>
      </c>
      <c r="C10" s="283" t="s">
        <v>228</v>
      </c>
      <c r="D10" s="283" t="s">
        <v>244</v>
      </c>
      <c r="E10" s="284">
        <v>30</v>
      </c>
      <c r="F10" s="284"/>
      <c r="G10" s="280"/>
      <c r="H10" s="280"/>
      <c r="I10" s="280"/>
      <c r="J10" s="280"/>
      <c r="K10" s="280"/>
      <c r="L10" s="280">
        <v>26</v>
      </c>
      <c r="M10" s="280"/>
      <c r="N10" s="280"/>
      <c r="O10" s="280">
        <v>30</v>
      </c>
      <c r="P10" s="280"/>
      <c r="Q10" s="280">
        <v>30</v>
      </c>
      <c r="R10" s="280">
        <v>30</v>
      </c>
      <c r="S10" s="280"/>
      <c r="T10" s="280"/>
      <c r="U10" s="280">
        <v>30</v>
      </c>
      <c r="V10" s="280">
        <v>30</v>
      </c>
      <c r="W10" s="280">
        <v>30</v>
      </c>
      <c r="X10" s="280">
        <v>30</v>
      </c>
      <c r="Y10" s="286">
        <f>COUNT(E10:X10)</f>
        <v>9</v>
      </c>
      <c r="Z10" s="282">
        <f>IF(Y10&lt;9,SUM(E10:X10),SUM(LARGE(E10:X10,1),LARGE(E10:X10,2),LARGE(E10:X10,3),LARGE(E10:X10,4),LARGE(E10:X10,5),LARGE(E10:X10,6),LARGE(E10:X10,7),LARGE(E10:X10,8),LARGE(E10:X10,9)))</f>
        <v>266</v>
      </c>
    </row>
    <row r="11" spans="2:26" ht="15">
      <c r="B11" s="278">
        <v>2</v>
      </c>
      <c r="C11" s="279" t="s">
        <v>218</v>
      </c>
      <c r="D11" s="279" t="s">
        <v>292</v>
      </c>
      <c r="E11" s="414">
        <v>23</v>
      </c>
      <c r="F11" s="416">
        <v>27</v>
      </c>
      <c r="G11" s="280">
        <v>29</v>
      </c>
      <c r="H11" s="288">
        <v>29</v>
      </c>
      <c r="I11" s="416">
        <v>25</v>
      </c>
      <c r="J11" s="416">
        <v>25</v>
      </c>
      <c r="K11" s="416">
        <v>28</v>
      </c>
      <c r="L11" s="285"/>
      <c r="M11" s="280">
        <v>29</v>
      </c>
      <c r="N11" s="280"/>
      <c r="O11" s="280">
        <v>29</v>
      </c>
      <c r="P11" s="280"/>
      <c r="Q11" s="416">
        <v>28</v>
      </c>
      <c r="R11" s="280">
        <v>28</v>
      </c>
      <c r="S11" s="280"/>
      <c r="T11" s="280">
        <v>29</v>
      </c>
      <c r="U11" s="280">
        <v>29</v>
      </c>
      <c r="V11" s="280">
        <v>29</v>
      </c>
      <c r="W11" s="280">
        <v>29</v>
      </c>
      <c r="X11" s="280"/>
      <c r="Y11" s="281">
        <f aca="true" t="shared" si="0" ref="Y11:Y24">COUNT(E11:X11)</f>
        <v>15</v>
      </c>
      <c r="Z11" s="282">
        <f aca="true" t="shared" si="1" ref="Z11:Z31">IF(Y11&lt;9,SUM(E11:X11),SUM(LARGE(E11:X11,1),LARGE(E11:X11,2),LARGE(E11:X11,3),LARGE(E11:X11,4),LARGE(E11:X11,5),LARGE(E11:X11,6),LARGE(E11:X11,7),LARGE(E11:X11,8),LARGE(E11:X11,9)))</f>
        <v>260</v>
      </c>
    </row>
    <row r="12" spans="2:26" ht="15">
      <c r="B12" s="278">
        <v>3</v>
      </c>
      <c r="C12" s="283" t="s">
        <v>189</v>
      </c>
      <c r="D12" s="283" t="s">
        <v>135</v>
      </c>
      <c r="E12" s="284">
        <v>22</v>
      </c>
      <c r="F12" s="284"/>
      <c r="G12" s="280"/>
      <c r="H12" s="280"/>
      <c r="I12" s="280">
        <v>28</v>
      </c>
      <c r="J12" s="280">
        <v>29</v>
      </c>
      <c r="K12" s="280">
        <v>29</v>
      </c>
      <c r="L12" s="280"/>
      <c r="M12" s="280">
        <v>30</v>
      </c>
      <c r="N12" s="280">
        <v>29</v>
      </c>
      <c r="O12" s="280"/>
      <c r="P12" s="280">
        <v>30</v>
      </c>
      <c r="Q12" s="280">
        <v>29</v>
      </c>
      <c r="R12" s="280">
        <v>29</v>
      </c>
      <c r="S12" s="280"/>
      <c r="T12" s="280"/>
      <c r="U12" s="280"/>
      <c r="V12" s="280"/>
      <c r="W12" s="280"/>
      <c r="X12" s="280"/>
      <c r="Y12" s="283">
        <f>COUNT(E12:X12)</f>
        <v>9</v>
      </c>
      <c r="Z12" s="282">
        <f>IF(Y12&lt;9,SUM(E12:X12),SUM(LARGE(E12:X12,1),LARGE(E12:X12,2),LARGE(E12:X12,3),LARGE(E12:X12,4),LARGE(E12:X12,5),LARGE(E12:X12,6),LARGE(E12:X12,7),LARGE(E12:X12,8),LARGE(E12:X12,9)))</f>
        <v>255</v>
      </c>
    </row>
    <row r="13" spans="2:26" ht="15">
      <c r="B13" s="278" t="s">
        <v>635</v>
      </c>
      <c r="C13" s="283" t="s">
        <v>208</v>
      </c>
      <c r="D13" s="283" t="s">
        <v>209</v>
      </c>
      <c r="E13" s="284">
        <v>27</v>
      </c>
      <c r="F13" s="390">
        <v>25</v>
      </c>
      <c r="G13" s="280">
        <v>27</v>
      </c>
      <c r="H13" s="280"/>
      <c r="I13" s="280">
        <v>29</v>
      </c>
      <c r="J13" s="280">
        <v>30</v>
      </c>
      <c r="K13" s="390">
        <v>26</v>
      </c>
      <c r="L13" s="280">
        <v>29</v>
      </c>
      <c r="M13" s="280"/>
      <c r="N13" s="280"/>
      <c r="O13" s="280"/>
      <c r="P13" s="280"/>
      <c r="Q13" s="280">
        <v>26</v>
      </c>
      <c r="R13" s="285">
        <v>26</v>
      </c>
      <c r="S13" s="280">
        <v>28</v>
      </c>
      <c r="T13" s="280"/>
      <c r="U13" s="280"/>
      <c r="V13" s="280">
        <v>26</v>
      </c>
      <c r="W13" s="280"/>
      <c r="X13" s="280"/>
      <c r="Y13" s="283">
        <f t="shared" si="0"/>
        <v>11</v>
      </c>
      <c r="Z13" s="282">
        <f t="shared" si="1"/>
        <v>248</v>
      </c>
    </row>
    <row r="14" spans="2:26" ht="15">
      <c r="B14" s="278" t="s">
        <v>635</v>
      </c>
      <c r="C14" s="283" t="s">
        <v>265</v>
      </c>
      <c r="D14" s="283" t="s">
        <v>264</v>
      </c>
      <c r="E14" s="403">
        <v>26</v>
      </c>
      <c r="F14" s="284">
        <v>29</v>
      </c>
      <c r="G14" s="390">
        <v>26</v>
      </c>
      <c r="H14" s="280">
        <v>27</v>
      </c>
      <c r="I14" s="280">
        <v>27</v>
      </c>
      <c r="J14" s="280">
        <v>28</v>
      </c>
      <c r="K14" s="280">
        <v>27</v>
      </c>
      <c r="L14" s="390">
        <v>25</v>
      </c>
      <c r="M14" s="390">
        <v>25</v>
      </c>
      <c r="N14" s="280"/>
      <c r="O14" s="390">
        <v>24</v>
      </c>
      <c r="P14" s="280"/>
      <c r="Q14" s="280">
        <v>27</v>
      </c>
      <c r="R14" s="280">
        <v>27</v>
      </c>
      <c r="S14" s="280">
        <v>29</v>
      </c>
      <c r="T14" s="390">
        <v>26</v>
      </c>
      <c r="U14" s="390">
        <v>26</v>
      </c>
      <c r="V14" s="280"/>
      <c r="W14" s="280">
        <v>27</v>
      </c>
      <c r="X14" s="280"/>
      <c r="Y14" s="283">
        <f t="shared" si="0"/>
        <v>16</v>
      </c>
      <c r="Z14" s="282">
        <f t="shared" si="1"/>
        <v>248</v>
      </c>
    </row>
    <row r="15" spans="2:26" ht="15">
      <c r="B15" s="278">
        <v>6</v>
      </c>
      <c r="C15" s="279" t="s">
        <v>224</v>
      </c>
      <c r="D15" s="279" t="s">
        <v>263</v>
      </c>
      <c r="E15" s="284"/>
      <c r="F15" s="390">
        <v>24</v>
      </c>
      <c r="G15" s="390">
        <v>24</v>
      </c>
      <c r="H15" s="287">
        <v>25</v>
      </c>
      <c r="I15" s="287">
        <v>30</v>
      </c>
      <c r="J15" s="287">
        <v>26</v>
      </c>
      <c r="K15" s="287">
        <v>25</v>
      </c>
      <c r="L15" s="280">
        <v>27</v>
      </c>
      <c r="M15" s="280">
        <v>28</v>
      </c>
      <c r="N15" s="280"/>
      <c r="O15" s="280">
        <v>26</v>
      </c>
      <c r="P15" s="280"/>
      <c r="Q15" s="280">
        <v>25</v>
      </c>
      <c r="R15" s="280">
        <v>25</v>
      </c>
      <c r="S15" s="280"/>
      <c r="T15" s="280"/>
      <c r="U15" s="280"/>
      <c r="V15" s="287"/>
      <c r="W15" s="287"/>
      <c r="X15" s="280"/>
      <c r="Y15" s="283">
        <f t="shared" si="0"/>
        <v>11</v>
      </c>
      <c r="Z15" s="282">
        <f t="shared" si="1"/>
        <v>237</v>
      </c>
    </row>
    <row r="16" spans="2:26" ht="15">
      <c r="B16" s="278" t="s">
        <v>669</v>
      </c>
      <c r="C16" s="283" t="s">
        <v>234</v>
      </c>
      <c r="D16" s="283" t="s">
        <v>230</v>
      </c>
      <c r="E16" s="284">
        <v>24</v>
      </c>
      <c r="F16" s="390">
        <v>23</v>
      </c>
      <c r="G16" s="280"/>
      <c r="H16" s="280"/>
      <c r="I16" s="280">
        <v>26</v>
      </c>
      <c r="J16" s="280">
        <v>27</v>
      </c>
      <c r="K16" s="280">
        <v>24</v>
      </c>
      <c r="L16" s="280">
        <v>24</v>
      </c>
      <c r="M16" s="280">
        <v>26</v>
      </c>
      <c r="N16" s="280">
        <v>25</v>
      </c>
      <c r="O16" s="280">
        <v>27</v>
      </c>
      <c r="P16" s="280"/>
      <c r="Q16" s="280">
        <v>24</v>
      </c>
      <c r="R16" s="280"/>
      <c r="S16" s="280"/>
      <c r="T16" s="280"/>
      <c r="U16" s="280"/>
      <c r="V16" s="280"/>
      <c r="W16" s="280"/>
      <c r="X16" s="280"/>
      <c r="Y16" s="286">
        <f t="shared" si="0"/>
        <v>10</v>
      </c>
      <c r="Z16" s="282">
        <f t="shared" si="1"/>
        <v>227</v>
      </c>
    </row>
    <row r="17" spans="2:26" ht="15">
      <c r="B17" s="278" t="s">
        <v>669</v>
      </c>
      <c r="C17" s="283" t="s">
        <v>239</v>
      </c>
      <c r="D17" s="283" t="s">
        <v>240</v>
      </c>
      <c r="E17" s="284">
        <v>25</v>
      </c>
      <c r="F17" s="284">
        <v>26</v>
      </c>
      <c r="G17" s="280">
        <v>30</v>
      </c>
      <c r="H17" s="280"/>
      <c r="I17" s="280"/>
      <c r="J17" s="280"/>
      <c r="K17" s="280"/>
      <c r="L17" s="280">
        <v>30</v>
      </c>
      <c r="M17" s="280"/>
      <c r="N17" s="280">
        <v>30</v>
      </c>
      <c r="O17" s="280">
        <v>28</v>
      </c>
      <c r="P17" s="280"/>
      <c r="Q17" s="280"/>
      <c r="R17" s="280"/>
      <c r="S17" s="280">
        <v>30</v>
      </c>
      <c r="T17" s="280">
        <v>28</v>
      </c>
      <c r="U17" s="280"/>
      <c r="V17" s="280"/>
      <c r="W17" s="280"/>
      <c r="X17" s="280"/>
      <c r="Y17" s="283">
        <f aca="true" t="shared" si="2" ref="Y17:Y22">COUNT(E17:X17)</f>
        <v>8</v>
      </c>
      <c r="Z17" s="282">
        <f aca="true" t="shared" si="3" ref="Z17:Z22">IF(Y17&lt;9,SUM(E17:X17),SUM(LARGE(E17:X17,1),LARGE(E17:X17,2),LARGE(E17:X17,3),LARGE(E17:X17,4),LARGE(E17:X17,5),LARGE(E17:X17,6),LARGE(E17:X17,7),LARGE(E17:X17,8),LARGE(E17:X17,9)))</f>
        <v>227</v>
      </c>
    </row>
    <row r="18" spans="2:26" ht="15">
      <c r="B18" s="278">
        <v>9</v>
      </c>
      <c r="C18" s="283" t="s">
        <v>206</v>
      </c>
      <c r="D18" s="283" t="s">
        <v>207</v>
      </c>
      <c r="E18" s="403">
        <v>18</v>
      </c>
      <c r="F18" s="390">
        <v>22</v>
      </c>
      <c r="G18" s="280">
        <v>23</v>
      </c>
      <c r="H18" s="280">
        <v>26</v>
      </c>
      <c r="I18" s="280"/>
      <c r="J18" s="280"/>
      <c r="K18" s="280">
        <v>23</v>
      </c>
      <c r="L18" s="280"/>
      <c r="M18" s="280">
        <v>24</v>
      </c>
      <c r="N18" s="280">
        <v>26</v>
      </c>
      <c r="O18" s="280"/>
      <c r="P18" s="280"/>
      <c r="Q18" s="280">
        <v>22</v>
      </c>
      <c r="R18" s="280"/>
      <c r="S18" s="280"/>
      <c r="T18" s="280">
        <v>27</v>
      </c>
      <c r="U18" s="280">
        <v>27</v>
      </c>
      <c r="V18" s="280"/>
      <c r="W18" s="280">
        <v>28</v>
      </c>
      <c r="X18" s="280"/>
      <c r="Y18" s="283">
        <f t="shared" si="2"/>
        <v>11</v>
      </c>
      <c r="Z18" s="282">
        <f t="shared" si="3"/>
        <v>226</v>
      </c>
    </row>
    <row r="19" spans="2:26" ht="15">
      <c r="B19" s="278">
        <v>10</v>
      </c>
      <c r="C19" s="283" t="s">
        <v>148</v>
      </c>
      <c r="D19" s="283" t="s">
        <v>211</v>
      </c>
      <c r="E19" s="403">
        <v>20</v>
      </c>
      <c r="F19" s="390">
        <v>20</v>
      </c>
      <c r="G19" s="280"/>
      <c r="H19" s="280">
        <v>24</v>
      </c>
      <c r="I19" s="280"/>
      <c r="J19" s="280"/>
      <c r="K19" s="390">
        <v>21</v>
      </c>
      <c r="L19" s="390">
        <v>23</v>
      </c>
      <c r="M19" s="280">
        <v>23</v>
      </c>
      <c r="N19" s="280">
        <v>23</v>
      </c>
      <c r="O19" s="280">
        <v>25</v>
      </c>
      <c r="P19" s="280"/>
      <c r="Q19" s="280">
        <v>23</v>
      </c>
      <c r="R19" s="280">
        <v>23</v>
      </c>
      <c r="S19" s="280"/>
      <c r="T19" s="280"/>
      <c r="U19" s="280">
        <v>25</v>
      </c>
      <c r="V19" s="280">
        <v>27</v>
      </c>
      <c r="W19" s="280">
        <v>26</v>
      </c>
      <c r="X19" s="280"/>
      <c r="Y19" s="286">
        <f t="shared" si="2"/>
        <v>13</v>
      </c>
      <c r="Z19" s="282">
        <f t="shared" si="3"/>
        <v>219</v>
      </c>
    </row>
    <row r="20" spans="2:26" ht="15">
      <c r="B20" s="278">
        <v>11</v>
      </c>
      <c r="C20" s="283" t="s">
        <v>507</v>
      </c>
      <c r="D20" s="283" t="s">
        <v>178</v>
      </c>
      <c r="E20" s="284">
        <v>21</v>
      </c>
      <c r="F20" s="284"/>
      <c r="G20" s="280"/>
      <c r="H20" s="280"/>
      <c r="I20" s="280"/>
      <c r="J20" s="280"/>
      <c r="K20" s="280">
        <v>19</v>
      </c>
      <c r="L20" s="280"/>
      <c r="M20" s="280"/>
      <c r="N20" s="280">
        <v>24</v>
      </c>
      <c r="O20" s="280">
        <v>23</v>
      </c>
      <c r="P20" s="280"/>
      <c r="Q20" s="280">
        <v>21</v>
      </c>
      <c r="R20" s="280">
        <v>22</v>
      </c>
      <c r="S20" s="280"/>
      <c r="T20" s="280">
        <v>30</v>
      </c>
      <c r="U20" s="280">
        <v>28</v>
      </c>
      <c r="V20" s="280">
        <v>28</v>
      </c>
      <c r="W20" s="280"/>
      <c r="X20" s="280"/>
      <c r="Y20" s="286">
        <f>COUNT(E20:X20)</f>
        <v>9</v>
      </c>
      <c r="Z20" s="282">
        <f>IF(Y20&lt;9,SUM(E20:X20),SUM(LARGE(E20:X20,1),LARGE(E20:X20,2),LARGE(E20:X20,3),LARGE(E20:X20,4),LARGE(E20:X20,5),LARGE(E20:X20,6),LARGE(E20:X20,7),LARGE(E20:X20,8),LARGE(E20:X20,9)))</f>
        <v>216</v>
      </c>
    </row>
    <row r="21" spans="2:26" ht="15">
      <c r="B21" s="278">
        <v>12</v>
      </c>
      <c r="C21" s="283" t="s">
        <v>245</v>
      </c>
      <c r="D21" s="283" t="s">
        <v>244</v>
      </c>
      <c r="E21" s="403">
        <v>17</v>
      </c>
      <c r="F21" s="390">
        <v>19</v>
      </c>
      <c r="G21" s="280">
        <v>22</v>
      </c>
      <c r="H21" s="280">
        <v>23</v>
      </c>
      <c r="I21" s="280">
        <v>23</v>
      </c>
      <c r="J21" s="280">
        <v>23</v>
      </c>
      <c r="K21" s="390">
        <v>20</v>
      </c>
      <c r="L21" s="280">
        <v>22</v>
      </c>
      <c r="M21" s="280">
        <v>22</v>
      </c>
      <c r="N21" s="280">
        <v>22</v>
      </c>
      <c r="O21" s="280">
        <v>22</v>
      </c>
      <c r="P21" s="280"/>
      <c r="Q21" s="390">
        <v>20</v>
      </c>
      <c r="R21" s="390">
        <v>21</v>
      </c>
      <c r="S21" s="280">
        <v>27</v>
      </c>
      <c r="T21" s="280"/>
      <c r="U21" s="280"/>
      <c r="V21" s="280"/>
      <c r="W21" s="280"/>
      <c r="X21" s="280"/>
      <c r="Y21" s="286">
        <f t="shared" si="2"/>
        <v>14</v>
      </c>
      <c r="Z21" s="282">
        <f t="shared" si="3"/>
        <v>206</v>
      </c>
    </row>
    <row r="22" spans="2:26" ht="15">
      <c r="B22" s="278">
        <v>13</v>
      </c>
      <c r="C22" s="283" t="s">
        <v>199</v>
      </c>
      <c r="D22" s="283" t="s">
        <v>200</v>
      </c>
      <c r="E22" s="284">
        <v>19</v>
      </c>
      <c r="F22" s="284">
        <v>28</v>
      </c>
      <c r="G22" s="280">
        <v>28</v>
      </c>
      <c r="H22" s="280">
        <v>30</v>
      </c>
      <c r="I22" s="280"/>
      <c r="J22" s="280"/>
      <c r="K22" s="280">
        <v>30</v>
      </c>
      <c r="L22" s="280"/>
      <c r="M22" s="280">
        <v>27</v>
      </c>
      <c r="N22" s="280">
        <v>27</v>
      </c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3">
        <f t="shared" si="2"/>
        <v>7</v>
      </c>
      <c r="Z22" s="282">
        <f t="shared" si="3"/>
        <v>189</v>
      </c>
    </row>
    <row r="23" spans="2:26" ht="15">
      <c r="B23" s="278">
        <v>14</v>
      </c>
      <c r="C23" s="283" t="s">
        <v>249</v>
      </c>
      <c r="D23" s="283" t="s">
        <v>210</v>
      </c>
      <c r="E23" s="284">
        <v>29</v>
      </c>
      <c r="F23" s="284">
        <v>21</v>
      </c>
      <c r="G23" s="280"/>
      <c r="H23" s="280"/>
      <c r="I23" s="280">
        <v>24</v>
      </c>
      <c r="J23" s="280">
        <v>24</v>
      </c>
      <c r="K23" s="280">
        <v>22</v>
      </c>
      <c r="L23" s="280">
        <v>28</v>
      </c>
      <c r="M23" s="280"/>
      <c r="N23" s="280"/>
      <c r="O23" s="280"/>
      <c r="P23" s="280"/>
      <c r="Q23" s="280"/>
      <c r="R23" s="280">
        <v>24</v>
      </c>
      <c r="S23" s="280"/>
      <c r="T23" s="280"/>
      <c r="U23" s="280"/>
      <c r="V23" s="280"/>
      <c r="W23" s="280"/>
      <c r="X23" s="280"/>
      <c r="Y23" s="283">
        <f t="shared" si="0"/>
        <v>7</v>
      </c>
      <c r="Z23" s="282">
        <f t="shared" si="1"/>
        <v>172</v>
      </c>
    </row>
    <row r="24" spans="2:26" ht="15">
      <c r="B24" s="278">
        <v>15</v>
      </c>
      <c r="C24" s="283" t="s">
        <v>213</v>
      </c>
      <c r="D24" s="283" t="s">
        <v>212</v>
      </c>
      <c r="E24" s="284">
        <v>28</v>
      </c>
      <c r="F24" s="284"/>
      <c r="G24" s="280">
        <v>25</v>
      </c>
      <c r="H24" s="280">
        <v>28</v>
      </c>
      <c r="I24" s="280"/>
      <c r="J24" s="280"/>
      <c r="K24" s="280"/>
      <c r="L24" s="280"/>
      <c r="M24" s="280">
        <v>21</v>
      </c>
      <c r="N24" s="280">
        <v>28</v>
      </c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6">
        <f t="shared" si="0"/>
        <v>5</v>
      </c>
      <c r="Z24" s="282">
        <f t="shared" si="1"/>
        <v>130</v>
      </c>
    </row>
    <row r="25" spans="2:26" ht="15">
      <c r="B25" s="335">
        <v>16</v>
      </c>
      <c r="C25" s="283" t="s">
        <v>336</v>
      </c>
      <c r="D25" s="283" t="s">
        <v>337</v>
      </c>
      <c r="E25" s="284"/>
      <c r="F25" s="284">
        <v>30</v>
      </c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3">
        <f aca="true" t="shared" si="4" ref="Y25:Y30">COUNT(E25:X25)</f>
        <v>1</v>
      </c>
      <c r="Z25" s="282">
        <f t="shared" si="1"/>
        <v>30</v>
      </c>
    </row>
    <row r="26" spans="2:26" ht="15">
      <c r="B26" s="278">
        <v>17</v>
      </c>
      <c r="C26" s="283" t="s">
        <v>267</v>
      </c>
      <c r="D26" s="283" t="s">
        <v>266</v>
      </c>
      <c r="E26" s="284">
        <v>16</v>
      </c>
      <c r="F26" s="284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6">
        <f t="shared" si="4"/>
        <v>1</v>
      </c>
      <c r="Z26" s="282">
        <f t="shared" si="1"/>
        <v>16</v>
      </c>
    </row>
    <row r="27" spans="2:26" ht="15">
      <c r="B27" s="278">
        <v>18</v>
      </c>
      <c r="C27" s="283" t="s">
        <v>29</v>
      </c>
      <c r="D27" s="283" t="s">
        <v>210</v>
      </c>
      <c r="E27" s="284">
        <v>15</v>
      </c>
      <c r="F27" s="284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8"/>
      <c r="Y27" s="283">
        <f t="shared" si="4"/>
        <v>1</v>
      </c>
      <c r="Z27" s="282">
        <f t="shared" si="1"/>
        <v>15</v>
      </c>
    </row>
    <row r="28" spans="2:26" ht="15">
      <c r="B28" s="278">
        <v>19</v>
      </c>
      <c r="C28" s="283" t="s">
        <v>179</v>
      </c>
      <c r="D28" s="283" t="s">
        <v>242</v>
      </c>
      <c r="E28" s="284">
        <v>14</v>
      </c>
      <c r="F28" s="284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6">
        <f t="shared" si="4"/>
        <v>1</v>
      </c>
      <c r="Z28" s="282">
        <f t="shared" si="1"/>
        <v>14</v>
      </c>
    </row>
    <row r="29" spans="2:26" ht="15">
      <c r="B29" s="278">
        <v>20</v>
      </c>
      <c r="C29" s="283" t="s">
        <v>201</v>
      </c>
      <c r="D29" s="283" t="s">
        <v>202</v>
      </c>
      <c r="E29" s="284">
        <v>13</v>
      </c>
      <c r="F29" s="284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6">
        <f>COUNT(E29:X29)</f>
        <v>1</v>
      </c>
      <c r="Z29" s="282">
        <f>IF(Y29&lt;9,SUM(E29:X29),SUM(LARGE(E29:X29,1),LARGE(E29:X29,2),LARGE(E29:X29,3),LARGE(E29:X29,4),LARGE(E29:X29,5),LARGE(E29:X29,6),LARGE(E29:X29,7),LARGE(E29:X29,8),LARGE(E29:X29,9)))</f>
        <v>13</v>
      </c>
    </row>
    <row r="30" spans="2:26" ht="15">
      <c r="B30" s="278" t="s">
        <v>649</v>
      </c>
      <c r="C30" s="283" t="s">
        <v>194</v>
      </c>
      <c r="D30" s="283" t="s">
        <v>290</v>
      </c>
      <c r="E30" s="284"/>
      <c r="F30" s="284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6">
        <f t="shared" si="4"/>
        <v>0</v>
      </c>
      <c r="Z30" s="282">
        <f t="shared" si="1"/>
        <v>0</v>
      </c>
    </row>
    <row r="31" spans="2:26" ht="15.75" thickBot="1">
      <c r="B31" s="334" t="s">
        <v>649</v>
      </c>
      <c r="C31" s="289" t="s">
        <v>233</v>
      </c>
      <c r="D31" s="289" t="s">
        <v>247</v>
      </c>
      <c r="E31" s="290"/>
      <c r="F31" s="290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2"/>
      <c r="Y31" s="293">
        <f>COUNT(E31:X31)</f>
        <v>0</v>
      </c>
      <c r="Z31" s="294">
        <f t="shared" si="1"/>
        <v>0</v>
      </c>
    </row>
    <row r="32" ht="15.75" thickTop="1"/>
  </sheetData>
  <sheetProtection/>
  <mergeCells count="4">
    <mergeCell ref="T2:Y2"/>
    <mergeCell ref="B7:C7"/>
    <mergeCell ref="Y7:Y9"/>
    <mergeCell ref="Z7:Z9"/>
  </mergeCells>
  <conditionalFormatting sqref="E32:Y33">
    <cfRule type="cellIs" priority="1" dxfId="0" operator="equal" stopIfTrue="1">
      <formula>20</formula>
    </cfRule>
  </conditionalFormatting>
  <conditionalFormatting sqref="Z32:Z33 Y10:Y32">
    <cfRule type="cellIs" priority="2" dxfId="0" operator="greaterThan" stopIfTrue="1">
      <formula>9</formula>
    </cfRule>
  </conditionalFormatting>
  <conditionalFormatting sqref="E10:X31">
    <cfRule type="cellIs" priority="3" dxfId="0" operator="equal" stopIfTrue="1">
      <formula>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E15" sqref="E15"/>
    </sheetView>
  </sheetViews>
  <sheetFormatPr defaultColWidth="9.140625" defaultRowHeight="15"/>
  <cols>
    <col min="1" max="1" width="9.140625" style="230" customWidth="1"/>
    <col min="2" max="2" width="10.7109375" style="0" bestFit="1" customWidth="1"/>
    <col min="3" max="3" width="11.57421875" style="0" bestFit="1" customWidth="1"/>
    <col min="4" max="4" width="7.140625" style="0" bestFit="1" customWidth="1"/>
    <col min="7" max="7" width="9.57421875" style="0" bestFit="1" customWidth="1"/>
    <col min="8" max="8" width="12.7109375" style="0" bestFit="1" customWidth="1"/>
    <col min="9" max="9" width="9.57421875" style="0" bestFit="1" customWidth="1"/>
  </cols>
  <sheetData>
    <row r="1" spans="1:7" ht="18">
      <c r="A1" s="246" t="s">
        <v>671</v>
      </c>
      <c r="D1" s="379"/>
      <c r="G1" s="344"/>
    </row>
    <row r="2" spans="1:7" ht="18">
      <c r="A2" s="246"/>
      <c r="D2" s="379"/>
      <c r="G2" s="344"/>
    </row>
    <row r="3" spans="4:9" ht="15">
      <c r="D3" s="379"/>
      <c r="G3" s="347" t="s">
        <v>260</v>
      </c>
      <c r="H3" s="346"/>
      <c r="I3" s="346"/>
    </row>
    <row r="4" spans="1:9" s="251" customFormat="1" ht="18" customHeight="1">
      <c r="A4" s="247"/>
      <c r="B4" s="248"/>
      <c r="C4" s="247"/>
      <c r="D4" s="348"/>
      <c r="G4" s="347" t="s">
        <v>645</v>
      </c>
      <c r="H4" s="346"/>
      <c r="I4" s="346"/>
    </row>
    <row r="5" spans="1:9" s="251" customFormat="1" ht="18" customHeight="1">
      <c r="A5" s="246"/>
      <c r="B5" s="248"/>
      <c r="C5" s="247"/>
      <c r="D5" s="348"/>
      <c r="G5" s="345" t="s">
        <v>454</v>
      </c>
      <c r="H5" s="346"/>
      <c r="I5" s="346"/>
    </row>
    <row r="6" spans="1:9" s="350" customFormat="1" ht="15">
      <c r="A6" s="82" t="s">
        <v>227</v>
      </c>
      <c r="B6" s="248"/>
      <c r="C6" s="248"/>
      <c r="D6" s="349"/>
      <c r="G6" s="345" t="s">
        <v>477</v>
      </c>
      <c r="H6" s="347" t="s">
        <v>477</v>
      </c>
      <c r="I6" s="347" t="s">
        <v>477</v>
      </c>
    </row>
    <row r="7" spans="1:9" s="350" customFormat="1" ht="15">
      <c r="A7" s="254" t="s">
        <v>20</v>
      </c>
      <c r="B7" s="254" t="s">
        <v>17</v>
      </c>
      <c r="C7" s="254" t="s">
        <v>18</v>
      </c>
      <c r="D7" s="349" t="s">
        <v>349</v>
      </c>
      <c r="E7" s="80" t="s">
        <v>20</v>
      </c>
      <c r="F7" s="80" t="s">
        <v>216</v>
      </c>
      <c r="G7" s="345" t="s">
        <v>349</v>
      </c>
      <c r="H7" s="347" t="s">
        <v>478</v>
      </c>
      <c r="I7" s="351" t="s">
        <v>216</v>
      </c>
    </row>
    <row r="8" spans="1:10" ht="15">
      <c r="A8" s="295">
        <v>1</v>
      </c>
      <c r="B8" s="296" t="s">
        <v>52</v>
      </c>
      <c r="C8" s="296" t="s">
        <v>274</v>
      </c>
      <c r="D8" s="394">
        <v>0.025300925925925925</v>
      </c>
      <c r="E8" s="298">
        <v>1</v>
      </c>
      <c r="F8" s="298">
        <v>30</v>
      </c>
      <c r="G8" s="387">
        <v>0.026041666666666668</v>
      </c>
      <c r="H8" s="352">
        <f aca="true" t="shared" si="0" ref="H8:H30">+D8/G8</f>
        <v>0.9715555555555555</v>
      </c>
      <c r="I8" s="15">
        <v>91</v>
      </c>
      <c r="J8" s="379"/>
    </row>
    <row r="9" spans="1:10" ht="15">
      <c r="A9" s="303">
        <v>2</v>
      </c>
      <c r="B9" s="304" t="s">
        <v>258</v>
      </c>
      <c r="C9" s="304" t="s">
        <v>257</v>
      </c>
      <c r="D9" s="395">
        <v>0.02809027777777778</v>
      </c>
      <c r="E9" s="306">
        <v>1</v>
      </c>
      <c r="F9" s="306">
        <v>30</v>
      </c>
      <c r="G9" s="387">
        <v>0.028449074074074075</v>
      </c>
      <c r="H9" s="352">
        <f t="shared" si="0"/>
        <v>0.9873881204231083</v>
      </c>
      <c r="I9" s="15">
        <v>89</v>
      </c>
      <c r="J9" s="353"/>
    </row>
    <row r="10" spans="1:10" ht="15">
      <c r="A10" s="299">
        <v>3</v>
      </c>
      <c r="B10" s="300" t="s">
        <v>219</v>
      </c>
      <c r="C10" s="300" t="s">
        <v>241</v>
      </c>
      <c r="D10" s="396">
        <v>0.029386574074074075</v>
      </c>
      <c r="E10" s="302">
        <v>1</v>
      </c>
      <c r="F10" s="302">
        <v>30</v>
      </c>
      <c r="G10" s="387">
        <v>0.031504629629629625</v>
      </c>
      <c r="H10" s="352">
        <f t="shared" si="0"/>
        <v>0.9327700220426159</v>
      </c>
      <c r="I10" s="15">
        <f>-1+I9</f>
        <v>88</v>
      </c>
      <c r="J10" s="353"/>
    </row>
    <row r="11" spans="1:10" ht="15">
      <c r="A11" s="299">
        <v>4</v>
      </c>
      <c r="B11" s="300" t="s">
        <v>115</v>
      </c>
      <c r="C11" s="300" t="s">
        <v>116</v>
      </c>
      <c r="D11" s="396">
        <v>0.02971064814814815</v>
      </c>
      <c r="E11" s="302">
        <v>2</v>
      </c>
      <c r="F11" s="302">
        <v>29</v>
      </c>
      <c r="G11" s="387">
        <v>0.031064814814814812</v>
      </c>
      <c r="H11" s="352">
        <f t="shared" si="0"/>
        <v>0.9564083457526081</v>
      </c>
      <c r="I11" s="15">
        <v>95</v>
      </c>
      <c r="J11" s="353"/>
    </row>
    <row r="12" spans="1:10" s="15" customFormat="1" ht="15">
      <c r="A12" s="307">
        <v>5</v>
      </c>
      <c r="B12" s="308" t="s">
        <v>276</v>
      </c>
      <c r="C12" s="308" t="s">
        <v>38</v>
      </c>
      <c r="D12" s="397">
        <v>0.03027777777777778</v>
      </c>
      <c r="E12" s="310">
        <v>1</v>
      </c>
      <c r="F12" s="310">
        <v>30</v>
      </c>
      <c r="G12" s="387">
        <v>0.03119212962962963</v>
      </c>
      <c r="H12" s="352">
        <f t="shared" si="0"/>
        <v>0.9706864564007421</v>
      </c>
      <c r="I12" s="15">
        <v>92</v>
      </c>
      <c r="J12" s="353"/>
    </row>
    <row r="13" spans="1:10" s="15" customFormat="1" ht="15">
      <c r="A13" s="307">
        <v>6</v>
      </c>
      <c r="B13" s="308" t="s">
        <v>103</v>
      </c>
      <c r="C13" s="308" t="s">
        <v>104</v>
      </c>
      <c r="D13" s="397">
        <v>0.030300925925925926</v>
      </c>
      <c r="E13" s="310">
        <v>2</v>
      </c>
      <c r="F13" s="310">
        <v>29</v>
      </c>
      <c r="G13" s="387">
        <v>0.03214120370370371</v>
      </c>
      <c r="H13" s="352">
        <f t="shared" si="0"/>
        <v>0.9427439683111271</v>
      </c>
      <c r="I13" s="15">
        <v>98</v>
      </c>
      <c r="J13" s="353"/>
    </row>
    <row r="14" spans="1:10" s="15" customFormat="1" ht="15">
      <c r="A14" s="256">
        <v>7</v>
      </c>
      <c r="B14" s="257" t="s">
        <v>518</v>
      </c>
      <c r="C14" s="257" t="s">
        <v>178</v>
      </c>
      <c r="D14" s="398">
        <v>0.0321875</v>
      </c>
      <c r="E14" s="312">
        <v>1</v>
      </c>
      <c r="F14" s="312">
        <v>30</v>
      </c>
      <c r="G14" s="387">
        <v>0.03231481481481482</v>
      </c>
      <c r="H14" s="352">
        <f t="shared" si="0"/>
        <v>0.9960601719197707</v>
      </c>
      <c r="I14" s="15">
        <v>85</v>
      </c>
      <c r="J14" s="353"/>
    </row>
    <row r="15" spans="1:10" s="15" customFormat="1" ht="15">
      <c r="A15" s="307">
        <v>8</v>
      </c>
      <c r="B15" s="308" t="s">
        <v>228</v>
      </c>
      <c r="C15" s="308" t="s">
        <v>340</v>
      </c>
      <c r="D15" s="397">
        <v>0.03222222222222222</v>
      </c>
      <c r="E15" s="310">
        <v>3</v>
      </c>
      <c r="F15" s="310">
        <v>28</v>
      </c>
      <c r="G15" s="387">
        <v>0.03357638888888889</v>
      </c>
      <c r="H15" s="352">
        <f t="shared" si="0"/>
        <v>0.9596690796277145</v>
      </c>
      <c r="I15" s="15">
        <v>94</v>
      </c>
      <c r="J15" s="353"/>
    </row>
    <row r="16" spans="1:10" ht="15">
      <c r="A16" s="299">
        <v>9</v>
      </c>
      <c r="B16" s="300" t="s">
        <v>353</v>
      </c>
      <c r="C16" s="300" t="s">
        <v>95</v>
      </c>
      <c r="D16" s="396">
        <v>0.03224537037037037</v>
      </c>
      <c r="E16" s="302">
        <v>3</v>
      </c>
      <c r="F16" s="302">
        <v>28</v>
      </c>
      <c r="G16" s="387">
        <v>0.032199074074074074</v>
      </c>
      <c r="H16" s="352">
        <f t="shared" si="0"/>
        <v>1.0014378145219267</v>
      </c>
      <c r="I16" s="15">
        <v>84</v>
      </c>
      <c r="J16" s="353"/>
    </row>
    <row r="17" spans="1:10" ht="15">
      <c r="A17" s="299">
        <v>10</v>
      </c>
      <c r="B17" s="300" t="s">
        <v>342</v>
      </c>
      <c r="C17" s="300" t="s">
        <v>341</v>
      </c>
      <c r="D17" s="396">
        <v>0.033483796296296296</v>
      </c>
      <c r="E17" s="302">
        <v>4</v>
      </c>
      <c r="F17" s="302">
        <v>27</v>
      </c>
      <c r="G17" s="387">
        <v>0.03363425925925926</v>
      </c>
      <c r="H17" s="352">
        <f t="shared" si="0"/>
        <v>0.9955264969029594</v>
      </c>
      <c r="I17" s="15">
        <v>86</v>
      </c>
      <c r="J17" s="353"/>
    </row>
    <row r="18" spans="1:10" ht="15">
      <c r="A18" s="303">
        <v>11</v>
      </c>
      <c r="B18" s="304" t="s">
        <v>31</v>
      </c>
      <c r="C18" s="304" t="s">
        <v>75</v>
      </c>
      <c r="D18" s="395">
        <v>0.033587962962962965</v>
      </c>
      <c r="E18" s="306">
        <v>2</v>
      </c>
      <c r="F18" s="306">
        <v>29</v>
      </c>
      <c r="G18" s="387">
        <v>0.034201388888888885</v>
      </c>
      <c r="H18" s="352">
        <f t="shared" si="0"/>
        <v>0.9820642978003385</v>
      </c>
      <c r="I18" s="15">
        <v>90</v>
      </c>
      <c r="J18" s="353"/>
    </row>
    <row r="19" spans="1:10" s="15" customFormat="1" ht="15">
      <c r="A19" s="256">
        <v>12</v>
      </c>
      <c r="B19" s="257" t="s">
        <v>356</v>
      </c>
      <c r="C19" s="257" t="s">
        <v>140</v>
      </c>
      <c r="D19" s="398">
        <v>0.034131944444444444</v>
      </c>
      <c r="E19" s="312">
        <v>2</v>
      </c>
      <c r="F19" s="312">
        <v>29</v>
      </c>
      <c r="G19" s="387">
        <v>0.03582175925925926</v>
      </c>
      <c r="H19" s="352">
        <f t="shared" si="0"/>
        <v>0.952827140549273</v>
      </c>
      <c r="I19" s="15">
        <v>96</v>
      </c>
      <c r="J19" s="353"/>
    </row>
    <row r="20" spans="1:10" s="15" customFormat="1" ht="15">
      <c r="A20" s="256">
        <v>13</v>
      </c>
      <c r="B20" s="257" t="s">
        <v>360</v>
      </c>
      <c r="C20" s="257" t="s">
        <v>359</v>
      </c>
      <c r="D20" s="398">
        <v>0.03459490740740741</v>
      </c>
      <c r="E20" s="312">
        <v>3</v>
      </c>
      <c r="F20" s="312">
        <v>28</v>
      </c>
      <c r="G20" s="387">
        <v>0.03484953703703703</v>
      </c>
      <c r="H20" s="352">
        <f t="shared" si="0"/>
        <v>0.9926934573231486</v>
      </c>
      <c r="I20" s="15">
        <v>87</v>
      </c>
      <c r="J20" s="353"/>
    </row>
    <row r="21" spans="1:10" s="15" customFormat="1" ht="15">
      <c r="A21" s="256">
        <v>14</v>
      </c>
      <c r="B21" s="257" t="s">
        <v>52</v>
      </c>
      <c r="C21" s="257" t="s">
        <v>178</v>
      </c>
      <c r="D21" s="398">
        <v>0.03516203703703704</v>
      </c>
      <c r="E21" s="312">
        <v>4</v>
      </c>
      <c r="F21" s="312">
        <v>27</v>
      </c>
      <c r="G21" s="387">
        <v>0.03868055555555556</v>
      </c>
      <c r="H21" s="352">
        <f t="shared" si="0"/>
        <v>0.9090365050867744</v>
      </c>
      <c r="I21" s="15">
        <v>100</v>
      </c>
      <c r="J21" s="353"/>
    </row>
    <row r="22" spans="1:10" s="15" customFormat="1" ht="15">
      <c r="A22" s="256">
        <v>15</v>
      </c>
      <c r="B22" s="257" t="s">
        <v>321</v>
      </c>
      <c r="C22" s="257" t="s">
        <v>190</v>
      </c>
      <c r="D22" s="398">
        <v>0.036516203703703703</v>
      </c>
      <c r="E22" s="312">
        <v>5</v>
      </c>
      <c r="F22" s="312">
        <v>26</v>
      </c>
      <c r="G22" s="387">
        <v>0.03836805555555555</v>
      </c>
      <c r="H22" s="352">
        <f t="shared" si="0"/>
        <v>0.9517345399698341</v>
      </c>
      <c r="I22" s="15">
        <v>97</v>
      </c>
      <c r="J22" s="353"/>
    </row>
    <row r="23" spans="1:10" ht="15">
      <c r="A23" s="299">
        <v>16</v>
      </c>
      <c r="B23" s="300" t="s">
        <v>117</v>
      </c>
      <c r="C23" s="300" t="s">
        <v>118</v>
      </c>
      <c r="D23" s="396">
        <v>0.03652777777777778</v>
      </c>
      <c r="E23" s="302">
        <v>5</v>
      </c>
      <c r="F23" s="302">
        <v>26</v>
      </c>
      <c r="G23" s="387">
        <v>0.03335648148148148</v>
      </c>
      <c r="H23" s="352">
        <f t="shared" si="0"/>
        <v>1.0950728660652325</v>
      </c>
      <c r="I23" s="15">
        <v>79</v>
      </c>
      <c r="J23" s="353"/>
    </row>
    <row r="24" spans="1:10" ht="15">
      <c r="A24" s="313">
        <v>17</v>
      </c>
      <c r="B24" s="314" t="s">
        <v>237</v>
      </c>
      <c r="C24" s="314" t="s">
        <v>271</v>
      </c>
      <c r="D24" s="399">
        <v>0.03737268518518519</v>
      </c>
      <c r="E24" s="316">
        <v>1</v>
      </c>
      <c r="F24" s="316">
        <v>30</v>
      </c>
      <c r="G24" s="387">
        <v>0.03885416666666667</v>
      </c>
      <c r="H24" s="352">
        <f t="shared" si="0"/>
        <v>0.9618707179028896</v>
      </c>
      <c r="I24" s="15">
        <v>93</v>
      </c>
      <c r="J24" s="353"/>
    </row>
    <row r="25" spans="1:10" s="15" customFormat="1" ht="15">
      <c r="A25" s="256">
        <v>18</v>
      </c>
      <c r="B25" s="257" t="s">
        <v>317</v>
      </c>
      <c r="C25" s="257" t="s">
        <v>116</v>
      </c>
      <c r="D25" s="398">
        <v>0.03846064814814815</v>
      </c>
      <c r="E25" s="312">
        <v>6</v>
      </c>
      <c r="F25" s="312">
        <v>25</v>
      </c>
      <c r="G25" s="387">
        <v>0.03833333333333334</v>
      </c>
      <c r="H25" s="352">
        <f t="shared" si="0"/>
        <v>1.0033212560386473</v>
      </c>
      <c r="I25" s="15">
        <v>83</v>
      </c>
      <c r="J25" s="353"/>
    </row>
    <row r="26" spans="1:10" s="15" customFormat="1" ht="15">
      <c r="A26" s="256">
        <v>19</v>
      </c>
      <c r="B26" s="257" t="s">
        <v>63</v>
      </c>
      <c r="C26" s="257" t="s">
        <v>178</v>
      </c>
      <c r="D26" s="398">
        <v>0.03861111111111111</v>
      </c>
      <c r="E26" s="312">
        <v>7</v>
      </c>
      <c r="F26" s="312">
        <v>24</v>
      </c>
      <c r="G26" s="387">
        <v>0.03697916666666667</v>
      </c>
      <c r="H26" s="352">
        <f t="shared" si="0"/>
        <v>1.044131455399061</v>
      </c>
      <c r="I26" s="15">
        <v>80</v>
      </c>
      <c r="J26" s="353"/>
    </row>
    <row r="27" spans="1:10" s="15" customFormat="1" ht="15">
      <c r="A27" s="256">
        <v>20</v>
      </c>
      <c r="B27" s="257" t="s">
        <v>183</v>
      </c>
      <c r="C27" s="257" t="s">
        <v>184</v>
      </c>
      <c r="D27" s="398">
        <v>0.03893518518518519</v>
      </c>
      <c r="E27" s="312">
        <v>8</v>
      </c>
      <c r="F27" s="312">
        <v>23</v>
      </c>
      <c r="G27" s="387">
        <v>0.03863425925925926</v>
      </c>
      <c r="H27" s="352">
        <f t="shared" si="0"/>
        <v>1.0077890952666269</v>
      </c>
      <c r="I27" s="15">
        <v>82</v>
      </c>
      <c r="J27" s="353"/>
    </row>
    <row r="28" spans="1:10" ht="15">
      <c r="A28" s="317">
        <v>21</v>
      </c>
      <c r="B28" s="318" t="s">
        <v>228</v>
      </c>
      <c r="C28" s="318" t="s">
        <v>244</v>
      </c>
      <c r="D28" s="319">
        <v>0.039594907407407405</v>
      </c>
      <c r="E28" s="320">
        <v>1</v>
      </c>
      <c r="F28" s="320">
        <v>30</v>
      </c>
      <c r="G28" s="387">
        <v>0.039143518518518515</v>
      </c>
      <c r="H28" s="352">
        <f t="shared" si="0"/>
        <v>1.011531638083974</v>
      </c>
      <c r="I28" s="15">
        <v>81</v>
      </c>
      <c r="J28" s="353"/>
    </row>
    <row r="29" spans="1:10" s="15" customFormat="1" ht="15">
      <c r="A29" s="256">
        <v>22</v>
      </c>
      <c r="B29" s="257" t="s">
        <v>102</v>
      </c>
      <c r="C29" s="257" t="s">
        <v>157</v>
      </c>
      <c r="D29" s="398">
        <v>0.04002314814814815</v>
      </c>
      <c r="E29" s="312">
        <v>9</v>
      </c>
      <c r="F29" s="312">
        <v>22</v>
      </c>
      <c r="G29" s="387">
        <v>0.036458333333333336</v>
      </c>
      <c r="H29" s="352">
        <f t="shared" si="0"/>
        <v>1.0977777777777777</v>
      </c>
      <c r="I29" s="15">
        <v>78</v>
      </c>
      <c r="J29" s="353"/>
    </row>
    <row r="30" spans="1:10" ht="15">
      <c r="A30" s="313">
        <v>23</v>
      </c>
      <c r="B30" s="314" t="s">
        <v>31</v>
      </c>
      <c r="C30" s="314" t="s">
        <v>542</v>
      </c>
      <c r="D30" s="399">
        <v>0.04186342592592593</v>
      </c>
      <c r="E30" s="316">
        <v>2</v>
      </c>
      <c r="F30" s="316">
        <v>29</v>
      </c>
      <c r="G30" s="387">
        <v>0.04237268518518519</v>
      </c>
      <c r="H30" s="352">
        <f t="shared" si="0"/>
        <v>0.9879814258399344</v>
      </c>
      <c r="I30" s="15">
        <v>88</v>
      </c>
      <c r="J30" s="35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Kirklees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mark.preston</dc:creator>
  <cp:keywords/>
  <dc:description/>
  <cp:lastModifiedBy>Mark</cp:lastModifiedBy>
  <dcterms:created xsi:type="dcterms:W3CDTF">2012-11-20T09:21:15Z</dcterms:created>
  <dcterms:modified xsi:type="dcterms:W3CDTF">2015-12-29T18:32:37Z</dcterms:modified>
  <cp:category/>
  <cp:version/>
  <cp:contentType/>
  <cp:contentStatus/>
</cp:coreProperties>
</file>